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4" firstSheet="10" activeTab="14"/>
  </bookViews>
  <sheets>
    <sheet name="Mérleg" sheetId="1" r:id="rId1"/>
    <sheet name="Bevét2" sheetId="2" r:id="rId2"/>
    <sheet name="Normativ3" sheetId="3" r:id="rId3"/>
    <sheet name="Kötött4" sheetId="4" r:id="rId4"/>
    <sheet name="Felhalmozás5" sheetId="5" r:id="rId5"/>
    <sheet name="Szociális6" sheetId="6" r:id="rId6"/>
    <sheet name="Támogatás7" sheetId="7" r:id="rId7"/>
    <sheet name="Műk_célú átadás8" sheetId="8" r:id="rId8"/>
    <sheet name="intézm9" sheetId="9" r:id="rId9"/>
    <sheet name="működés10" sheetId="10" r:id="rId10"/>
    <sheet name="felhalmozás11" sheetId="11" r:id="rId11"/>
    <sheet name="Műk_szakf12" sheetId="12" r:id="rId12"/>
    <sheet name="Felh_szakf13" sheetId="13" r:id="rId13"/>
    <sheet name="Kisebbség14" sheetId="14" r:id="rId14"/>
    <sheet name="Többéves15" sheetId="15" r:id="rId15"/>
    <sheet name="Hiteláll_16" sheetId="16" r:id="rId16"/>
    <sheet name="Pénzm_17" sheetId="17" r:id="rId17"/>
    <sheet name="Pénzm_felh_18" sheetId="18" r:id="rId18"/>
    <sheet name="Közv_tám_19" sheetId="19" r:id="rId19"/>
    <sheet name="Vagyonkim_20" sheetId="20" r:id="rId20"/>
    <sheet name="Egysz_Pénzforg_jel_21" sheetId="21" r:id="rId21"/>
    <sheet name="Egysz_pénzm_22" sheetId="22" r:id="rId22"/>
    <sheet name="Uniós tám_23_" sheetId="23" r:id="rId23"/>
    <sheet name="LakásAlap24_" sheetId="24" r:id="rId24"/>
  </sheets>
  <definedNames/>
  <calcPr fullCalcOnLoad="1"/>
</workbook>
</file>

<file path=xl/sharedStrings.xml><?xml version="1.0" encoding="utf-8"?>
<sst xmlns="http://schemas.openxmlformats.org/spreadsheetml/2006/main" count="4044" uniqueCount="1686">
  <si>
    <t>13.1.</t>
  </si>
  <si>
    <t>13.2.</t>
  </si>
  <si>
    <t>13.3.</t>
  </si>
  <si>
    <t>13.4.</t>
  </si>
  <si>
    <t>842541-1</t>
  </si>
  <si>
    <t>Ár- és belvízvédelemmel összefüggő tevékenységek</t>
  </si>
  <si>
    <t>14.1.</t>
  </si>
  <si>
    <t>14.2.</t>
  </si>
  <si>
    <t>14.3.</t>
  </si>
  <si>
    <t>14.4.</t>
  </si>
  <si>
    <t>854234-1</t>
  </si>
  <si>
    <t>Szociális ösztöndíjak</t>
  </si>
  <si>
    <t>15.1.</t>
  </si>
  <si>
    <t>15.2.</t>
  </si>
  <si>
    <t>15.3.</t>
  </si>
  <si>
    <t>15.4.</t>
  </si>
  <si>
    <t>869041-1</t>
  </si>
  <si>
    <t>Család- és nővédelmi egészségügyi gondozás</t>
  </si>
  <si>
    <t>16.1.</t>
  </si>
  <si>
    <t>16.2.</t>
  </si>
  <si>
    <t>16.3.</t>
  </si>
  <si>
    <t>16.4.</t>
  </si>
  <si>
    <t>869042-1</t>
  </si>
  <si>
    <t>Ifjúság-egészségügyi gondozás</t>
  </si>
  <si>
    <t>17.1.</t>
  </si>
  <si>
    <t>17.2.</t>
  </si>
  <si>
    <t>17.3.</t>
  </si>
  <si>
    <t>17.4.</t>
  </si>
  <si>
    <t>882111-1</t>
  </si>
  <si>
    <t>Rendszeres szociális segély</t>
  </si>
  <si>
    <t>18.1.</t>
  </si>
  <si>
    <t>18.2.</t>
  </si>
  <si>
    <t>18.3.</t>
  </si>
  <si>
    <t>18.4.</t>
  </si>
  <si>
    <t>882112-1</t>
  </si>
  <si>
    <t>19.1.</t>
  </si>
  <si>
    <t>19.2.</t>
  </si>
  <si>
    <t>19.3.</t>
  </si>
  <si>
    <t>19.4.</t>
  </si>
  <si>
    <t>882113-1</t>
  </si>
  <si>
    <t>Lakásfenntartási támogatás normatív alapon</t>
  </si>
  <si>
    <t>20.1.</t>
  </si>
  <si>
    <t>20.2.</t>
  </si>
  <si>
    <t>20.3.</t>
  </si>
  <si>
    <t>20.4.</t>
  </si>
  <si>
    <t>882114-1</t>
  </si>
  <si>
    <t>Helyi rendszeres lakásfenntartási támogatás</t>
  </si>
  <si>
    <t>21.1.</t>
  </si>
  <si>
    <t>21.2.</t>
  </si>
  <si>
    <t>21.3.</t>
  </si>
  <si>
    <t>21.4.</t>
  </si>
  <si>
    <t>882115-1</t>
  </si>
  <si>
    <t>Ápolási díj alanyi jogon</t>
  </si>
  <si>
    <t>22.1.</t>
  </si>
  <si>
    <t>22.2.</t>
  </si>
  <si>
    <t>22.3.</t>
  </si>
  <si>
    <t>22.4.</t>
  </si>
  <si>
    <t>3. oldal</t>
  </si>
  <si>
    <t>882117-1</t>
  </si>
  <si>
    <t>Rendszeres gyermekvédelmi pénzbeli ellátás</t>
  </si>
  <si>
    <t>23.1.</t>
  </si>
  <si>
    <t>23.2.</t>
  </si>
  <si>
    <t>23.3.</t>
  </si>
  <si>
    <t>23.4.</t>
  </si>
  <si>
    <t>882119-1</t>
  </si>
  <si>
    <t>24.1.</t>
  </si>
  <si>
    <t>24.2.</t>
  </si>
  <si>
    <t>24.3.</t>
  </si>
  <si>
    <t>24.4.</t>
  </si>
  <si>
    <t>882122-1</t>
  </si>
  <si>
    <t>25.1.</t>
  </si>
  <si>
    <t>25.2.</t>
  </si>
  <si>
    <t>25.3.</t>
  </si>
  <si>
    <t>25.4.</t>
  </si>
  <si>
    <t>882123-1</t>
  </si>
  <si>
    <t>26.1.</t>
  </si>
  <si>
    <t>26.2.</t>
  </si>
  <si>
    <t>26.3.</t>
  </si>
  <si>
    <t>26.4.</t>
  </si>
  <si>
    <t>882124-1</t>
  </si>
  <si>
    <t>27.1.</t>
  </si>
  <si>
    <t>27.2.</t>
  </si>
  <si>
    <t>27.3.</t>
  </si>
  <si>
    <t>27.4.</t>
  </si>
  <si>
    <t>882125-1</t>
  </si>
  <si>
    <t>Mozgáskorlátozottak közlekedési támogatása</t>
  </si>
  <si>
    <t>28.1.</t>
  </si>
  <si>
    <t>28.2.</t>
  </si>
  <si>
    <t>28.3.</t>
  </si>
  <si>
    <t>28.4.</t>
  </si>
  <si>
    <t>882202-1</t>
  </si>
  <si>
    <t>29.1.</t>
  </si>
  <si>
    <t>29.2.</t>
  </si>
  <si>
    <t>29.3.</t>
  </si>
  <si>
    <t>29.4.</t>
  </si>
  <si>
    <t>882203-1</t>
  </si>
  <si>
    <t>30.1.</t>
  </si>
  <si>
    <t>30.2.</t>
  </si>
  <si>
    <t>30.3.</t>
  </si>
  <si>
    <t>30.4.</t>
  </si>
  <si>
    <t>889936-1</t>
  </si>
  <si>
    <t>Gyermektartásdíj megelőlegezés</t>
  </si>
  <si>
    <t>31.1.</t>
  </si>
  <si>
    <t>31.2.</t>
  </si>
  <si>
    <t>31.3.</t>
  </si>
  <si>
    <t>31.4.</t>
  </si>
  <si>
    <t>890301-1</t>
  </si>
  <si>
    <t>Civil szervezetek müködési támogatása</t>
  </si>
  <si>
    <t>32.1.</t>
  </si>
  <si>
    <t>32.2.</t>
  </si>
  <si>
    <t>32.3.</t>
  </si>
  <si>
    <t>32.4.</t>
  </si>
  <si>
    <t>4. oldal</t>
  </si>
  <si>
    <t>890441-1</t>
  </si>
  <si>
    <t>Közcélú foglalkoztatás</t>
  </si>
  <si>
    <t>890443-1</t>
  </si>
  <si>
    <t>Közmunka</t>
  </si>
  <si>
    <t>33.1.</t>
  </si>
  <si>
    <t>33.2.</t>
  </si>
  <si>
    <t>33.3.</t>
  </si>
  <si>
    <t>33.4.</t>
  </si>
  <si>
    <t>960302-1</t>
  </si>
  <si>
    <t>Köztemető-fenntartás és működtetés</t>
  </si>
  <si>
    <t>34.1.</t>
  </si>
  <si>
    <t>34.2.</t>
  </si>
  <si>
    <t>34.3.</t>
  </si>
  <si>
    <t>34.4.</t>
  </si>
  <si>
    <t>682001-2</t>
  </si>
  <si>
    <t>Lakóingatlan bérbeadása, üzemeltetése</t>
  </si>
  <si>
    <t>35.1.</t>
  </si>
  <si>
    <t>35.2.</t>
  </si>
  <si>
    <t>35.3.</t>
  </si>
  <si>
    <t>35.4.</t>
  </si>
  <si>
    <t>682002-2</t>
  </si>
  <si>
    <t>Nem lakóingatlan bérbeadása, üzemeltetése</t>
  </si>
  <si>
    <t>36.1.</t>
  </si>
  <si>
    <t>36.2.</t>
  </si>
  <si>
    <t>36.3.</t>
  </si>
  <si>
    <t>36.4.</t>
  </si>
  <si>
    <t>38.</t>
  </si>
  <si>
    <t>38.1.</t>
  </si>
  <si>
    <t>38.2.</t>
  </si>
  <si>
    <t>38.3.</t>
  </si>
  <si>
    <t>38.4.</t>
  </si>
  <si>
    <t>13. melléklet</t>
  </si>
  <si>
    <t xml:space="preserve">Vásárosnamény Város Polgármesteri Hivatala 2010. évi felhalmozási költségvetése feladatonként </t>
  </si>
  <si>
    <t>mozási)</t>
  </si>
  <si>
    <t>Város-, és községgazdálkodási m.n.s. szolg-ok</t>
  </si>
  <si>
    <t>889935-1</t>
  </si>
  <si>
    <t>14. melléklet</t>
  </si>
  <si>
    <t>A  Vásárosnaményi Cigány Kisebbségi Önkormányzat 2010. évi költségvetésének mérlege</t>
  </si>
  <si>
    <t xml:space="preserve">Teljesítés </t>
  </si>
  <si>
    <t>Önkormányzattól kapott támogatás</t>
  </si>
  <si>
    <t>Központosított előirányzat</t>
  </si>
  <si>
    <t>Átvett pénzeszköz</t>
  </si>
  <si>
    <t>Előző évi pénzmaradvány</t>
  </si>
  <si>
    <t>Működési célú pénzeszköz átadás</t>
  </si>
  <si>
    <t>Finanszírozási kiadások</t>
  </si>
  <si>
    <t>Intézményi működési bevétel</t>
  </si>
  <si>
    <t>2. BEVÉTELEK ÖSSZESEN</t>
  </si>
  <si>
    <t>2.  KIADÁSOK ÖSSZESEN</t>
  </si>
  <si>
    <t xml:space="preserve">         15. melléklet</t>
  </si>
  <si>
    <t>A Vásárosnaményi Önkormányzat többéves kihatással járó döntéseiből származó kötelezettségek</t>
  </si>
  <si>
    <t>célok szerint, évenkénti bontásban</t>
  </si>
  <si>
    <t>Kötelezettség jogcíme</t>
  </si>
  <si>
    <t>Köt. váll.</t>
  </si>
  <si>
    <t>Lejárat</t>
  </si>
  <si>
    <t>2010. év előtti</t>
  </si>
  <si>
    <t>Kiadás vonzata évenként</t>
  </si>
  <si>
    <t>Összesen</t>
  </si>
  <si>
    <t xml:space="preserve"> éve</t>
  </si>
  <si>
    <t>éve</t>
  </si>
  <si>
    <t>kifizetés</t>
  </si>
  <si>
    <t>2010.</t>
  </si>
  <si>
    <t>2011.</t>
  </si>
  <si>
    <t>2012.</t>
  </si>
  <si>
    <t>2012. 
után</t>
  </si>
  <si>
    <t>Működési célú hiteltörlesztés (tőke+kamat)</t>
  </si>
  <si>
    <t>............................</t>
  </si>
  <si>
    <t>Felhalmozási célú hiteltörlesztés (tőke+kamat)</t>
  </si>
  <si>
    <t>Eötvös J. Ált. Iskola bővítése</t>
  </si>
  <si>
    <t>Felhalmozási célú garancia- és kezesség vállalásból szárm. kifiz. (tőke+kamat)</t>
  </si>
  <si>
    <t>VITKA Nonprofit Kft. hitele</t>
  </si>
  <si>
    <t>Működési célú belföldi értékpapír kibocsátása (tőke+kamat)</t>
  </si>
  <si>
    <t>VITKA Nonprofit Kft. folyószámlahitele</t>
  </si>
  <si>
    <t>Befektetési célú belföldi értékpapír kibocsátása (tőke+kamat)</t>
  </si>
  <si>
    <t>Kötvény kibocsátás</t>
  </si>
  <si>
    <t>-</t>
  </si>
  <si>
    <t>Beruházás célonként</t>
  </si>
  <si>
    <t>Felújítás feladatonként</t>
  </si>
  <si>
    <t>Összesen (1+2+3+4+5+6+7)</t>
  </si>
  <si>
    <t>16. melléklet</t>
  </si>
  <si>
    <t>A Vásárosnaményi Önkormányzat hitelállományának alakulása</t>
  </si>
  <si>
    <t>lejárat és eszközök szerinti bontásban</t>
  </si>
  <si>
    <t>Felvétel</t>
  </si>
  <si>
    <t xml:space="preserve">Lejárat </t>
  </si>
  <si>
    <t>Hitel állomány január 1-jén</t>
  </si>
  <si>
    <t>Hitel jellege</t>
  </si>
  <si>
    <t>2013.</t>
  </si>
  <si>
    <t xml:space="preserve">1. Működési célú </t>
  </si>
  <si>
    <t>1.1. Folyószámla hitel</t>
  </si>
  <si>
    <t>1.2. Munkabérhitel</t>
  </si>
  <si>
    <t>2. Felhalmozási célú</t>
  </si>
  <si>
    <t>2.1. Eötvös J. Ált. Iskola bővítés</t>
  </si>
  <si>
    <t>3. Mindösszesen (1+2):</t>
  </si>
  <si>
    <t>17. melléklet</t>
  </si>
  <si>
    <t>Az Önkormányzat 2010. évi egyszerűsített pénzmaradvány kimutatása</t>
  </si>
  <si>
    <t>M e g n e v e z é s</t>
  </si>
  <si>
    <t>Zárópénz-</t>
  </si>
  <si>
    <t>Forgatási</t>
  </si>
  <si>
    <t>Költségve-</t>
  </si>
  <si>
    <t>Egyéb aktív</t>
  </si>
  <si>
    <t xml:space="preserve">Előző </t>
  </si>
  <si>
    <t>Vállalko-</t>
  </si>
  <si>
    <t>Tárgyévi</t>
  </si>
  <si>
    <t>Intézményi</t>
  </si>
  <si>
    <t>Pénzma-</t>
  </si>
  <si>
    <t>Költségvet.</t>
  </si>
  <si>
    <t>A vállalko-</t>
  </si>
  <si>
    <t>készlet</t>
  </si>
  <si>
    <t>tési</t>
  </si>
  <si>
    <t>passzív</t>
  </si>
  <si>
    <t xml:space="preserve">év(ek)ben </t>
  </si>
  <si>
    <t>zási tevé-</t>
  </si>
  <si>
    <t>helyesbí-</t>
  </si>
  <si>
    <t>költségve-</t>
  </si>
  <si>
    <t>tési kiuta-</t>
  </si>
  <si>
    <t>radványt</t>
  </si>
  <si>
    <t>tési pénz-</t>
  </si>
  <si>
    <t>finanszíro-</t>
  </si>
  <si>
    <t>aktív</t>
  </si>
  <si>
    <t>pü. elsz.-ok</t>
  </si>
  <si>
    <t>képzett</t>
  </si>
  <si>
    <t>kenység</t>
  </si>
  <si>
    <t>tett pénz-</t>
  </si>
  <si>
    <t>tési befize-</t>
  </si>
  <si>
    <t>befizetés</t>
  </si>
  <si>
    <t>lás</t>
  </si>
  <si>
    <t>marad-</t>
  </si>
  <si>
    <t>elszámolá-</t>
  </si>
  <si>
    <t>pénzfor-</t>
  </si>
  <si>
    <t>többlettá-</t>
  </si>
  <si>
    <t>kiutalatlan</t>
  </si>
  <si>
    <t>elvonások</t>
  </si>
  <si>
    <t>(I+J+K</t>
  </si>
  <si>
    <t>eredmé-</t>
  </si>
  <si>
    <t>ványt kü-</t>
  </si>
  <si>
    <t>(14+15±16)</t>
  </si>
  <si>
    <t>műveletek</t>
  </si>
  <si>
    <t>sok</t>
  </si>
  <si>
    <t>galmi</t>
  </si>
  <si>
    <t>vány</t>
  </si>
  <si>
    <t>intézményi</t>
  </si>
  <si>
    <t>támogatás</t>
  </si>
  <si>
    <t xml:space="preserve"> +L+M+O)</t>
  </si>
  <si>
    <t>nyéből</t>
  </si>
  <si>
    <t>lön jogsza-</t>
  </si>
  <si>
    <t>egyenlege</t>
  </si>
  <si>
    <t>(D-E)</t>
  </si>
  <si>
    <t>vállalkozási</t>
  </si>
  <si>
    <t>(A+B+F</t>
  </si>
  <si>
    <t>miatt</t>
  </si>
  <si>
    <t>alaptevé-</t>
  </si>
  <si>
    <t>bály alap-</t>
  </si>
  <si>
    <t>maradványa</t>
  </si>
  <si>
    <t xml:space="preserve"> +G+H)</t>
  </si>
  <si>
    <t>ján módo-</t>
  </si>
  <si>
    <t>ellátására</t>
  </si>
  <si>
    <t>sító tétel</t>
  </si>
  <si>
    <t>felhasznált</t>
  </si>
  <si>
    <t>összeg</t>
  </si>
  <si>
    <t>(-)</t>
  </si>
  <si>
    <t>(±)</t>
  </si>
  <si>
    <t>1.2. Eötvös J. Általános Iskola</t>
  </si>
  <si>
    <t>1.3. Petőfi Sándor ÁMK.</t>
  </si>
  <si>
    <t>1.4. Kölcsey Ferenc ÁMK.</t>
  </si>
  <si>
    <t>2.1. Esze Tamás Műv.Központ</t>
  </si>
  <si>
    <t>2.2. Balázs J. Városi Könyvtár</t>
  </si>
  <si>
    <t>3.1. II. Rákóczi F. Gimnázium</t>
  </si>
  <si>
    <t>3.2. Lónyay M. Szakközép Iskola</t>
  </si>
  <si>
    <t>3.3. Babus J. Kollégium</t>
  </si>
  <si>
    <t>3. Középfokú oktatás összesen:</t>
  </si>
  <si>
    <t>4. Polgármesteri Hiv. összesen:</t>
  </si>
  <si>
    <t>18. melléklet</t>
  </si>
  <si>
    <t>az Önkormányzat 2010. évi pénzmaradványa</t>
  </si>
  <si>
    <t>megállapításáról és felhasználásáról</t>
  </si>
  <si>
    <t xml:space="preserve">M e g n e v e z é s </t>
  </si>
  <si>
    <t>Összeg</t>
  </si>
  <si>
    <t>2010. évi módosított pénzmaradvány</t>
  </si>
  <si>
    <t>1. Működési célú pénzmaradvány összesen:</t>
  </si>
  <si>
    <t xml:space="preserve">  1.1.1. Gimnázium személy jellegű juttatás és járulék</t>
  </si>
  <si>
    <t xml:space="preserve">  1.1.2. Gimnázium dologi kiadás</t>
  </si>
  <si>
    <t xml:space="preserve">  1.1.3. Szakmunkásképző személyi jellegű juttatás és járulék</t>
  </si>
  <si>
    <t xml:space="preserve">  1.1.4. Szakmunkásképző dologi kiadás</t>
  </si>
  <si>
    <t xml:space="preserve"> 1.1.5.  Kollégium személyi jellegű juttatás és járulék</t>
  </si>
  <si>
    <t xml:space="preserve"> 1.1.6.  Kollégium dolog kiadás</t>
  </si>
  <si>
    <t xml:space="preserve">    1.1. Középfok összesen:</t>
  </si>
  <si>
    <t xml:space="preserve"> 1.2.1. Játékország Óvodái dologi kiadás</t>
  </si>
  <si>
    <t xml:space="preserve"> 1.2.2. Eötvös J. Általános Iskola dologi kiadás</t>
  </si>
  <si>
    <t xml:space="preserve"> 1.2.3. Petőfi Sándor ÁMK dologi kiadás</t>
  </si>
  <si>
    <t xml:space="preserve"> 1.2.4. Kölcsey Ferenc ÁMK dologi kiadás</t>
  </si>
  <si>
    <t xml:space="preserve"> 1.2.5. Városi Zeneiskola dologi kiadás</t>
  </si>
  <si>
    <t xml:space="preserve"> 1.2.6. Nevelési Tanácsadó dologi kiadás</t>
  </si>
  <si>
    <t xml:space="preserve">    1.2. Alsófok összesen:</t>
  </si>
  <si>
    <t xml:space="preserve"> 1.3.1. Esze Tamás Művelődési Központ dologi kiadás</t>
  </si>
  <si>
    <t xml:space="preserve"> 1.3.2. Balázs József Városi Könyvtár dologi kiadás</t>
  </si>
  <si>
    <t xml:space="preserve">    1.3. Művelődési Központ összesen:</t>
  </si>
  <si>
    <t xml:space="preserve">    1.4. Polgármesteri Hivatal összesen:</t>
  </si>
  <si>
    <t>* A Polgármesteri Hivatal pénzmaradványa negatív,</t>
  </si>
  <si>
    <t xml:space="preserve">  melyet a következő évek pénzmaradványából kell rendezni</t>
  </si>
  <si>
    <t>19. melléklet</t>
  </si>
  <si>
    <t>A Vásárosnaményi Önkormányzat által nyújtott közvetett támogatások</t>
  </si>
  <si>
    <t>Bevételi jogcím</t>
  </si>
  <si>
    <t>Kedvezmény nélkül elérhető bevétel</t>
  </si>
  <si>
    <t>Kedvezmények összege</t>
  </si>
  <si>
    <t>1. Gépjárműadó</t>
  </si>
  <si>
    <t>2. Összesen:</t>
  </si>
  <si>
    <t>21. melléklet</t>
  </si>
  <si>
    <t>EGYSZERŰSÍTETT ÉVES PÉNZFORGALMI JELENTÉS</t>
  </si>
  <si>
    <t>M E G N E V E Z É S</t>
  </si>
  <si>
    <t>Dologi és egyéb folyó kiadások</t>
  </si>
  <si>
    <t>Működ-i célú támogatásértékű kiadások, egyéb támogatás</t>
  </si>
  <si>
    <t>Államházt-on kívülre végleges működési pénzeszközátadások</t>
  </si>
  <si>
    <t>Ellátottak pénzbeli juttatásai</t>
  </si>
  <si>
    <t>Felújítás</t>
  </si>
  <si>
    <t>Felhalmi-i célú támogatásértékű kiadások, egyéb támogatás</t>
  </si>
  <si>
    <t>Államházt-on kívülre végleges felhalmozási pénzeszközátadás</t>
  </si>
  <si>
    <t>Hosszú lejáratú kölcsönök nyújtása</t>
  </si>
  <si>
    <t>Rövid lejáratú kölcsönök nyújtása</t>
  </si>
  <si>
    <t>KÖLTSÉGVETÉSI PÉNZFORGALMI KIADÁSOK ÖSSZESEN (01+…+12)</t>
  </si>
  <si>
    <t>Hosszú lejáratú hitelek</t>
  </si>
  <si>
    <t>Rövid lejáratú hitelek</t>
  </si>
  <si>
    <t>Tartós hitelviszonyt megtestesítő értékpapírok kiadásai</t>
  </si>
  <si>
    <t>Forgatási célú hitelviszonyt megtestesítő értékpapírok kiadásai</t>
  </si>
  <si>
    <t>FINANSZÍROZÁSI KIADÁSOK ÖSSZESEN (14+…+17)</t>
  </si>
  <si>
    <t>PÉNZFORGALMI KIADÁSOK (13+18)</t>
  </si>
  <si>
    <t>Pénzforgalom nélküli kiadások</t>
  </si>
  <si>
    <t>Kiegyenlítő, függő, átfutó kiadások</t>
  </si>
  <si>
    <t>KIADÁSOK ÖSSZESEN (19+…+22)</t>
  </si>
  <si>
    <t>Működési célú támogatásértékű bevételek, egyéb támogatás</t>
  </si>
  <si>
    <t>Államházt-on kívülről végleges működési pénzeszközátvétel</t>
  </si>
  <si>
    <t>Felhalmozási és tőke jellegű bevétel</t>
  </si>
  <si>
    <t xml:space="preserve"> - Ebből Önkormányzatok sajátos felhalmozási és tőkebevételei</t>
  </si>
  <si>
    <t xml:space="preserve">Felhalmi-i célú támogatásértékű bevételek, egyéb támogatások </t>
  </si>
  <si>
    <t>Államházt-on kívülről végleges felhalmozási pénzeszközátvétel</t>
  </si>
  <si>
    <t>Támogatások, kiegészítések</t>
  </si>
  <si>
    <t xml:space="preserve"> - Ebből Önkormányzatok költségvetési támogatása</t>
  </si>
  <si>
    <t>Hosszú lejáratú kölcsönök visszatérülése</t>
  </si>
  <si>
    <t>Rövid lejáratú kölcsönök visszatérülése</t>
  </si>
  <si>
    <t>KÖLTSÉGVETÉSI PÉNZFORGALMI BEVÉTELEK ÖSSZESEN:</t>
  </si>
  <si>
    <t>(24+…+28+30+31+32+34+35)</t>
  </si>
  <si>
    <t>Hosszú lejáratú hitelek felvétele</t>
  </si>
  <si>
    <t>Rövid lejáratú hitelek felvétele</t>
  </si>
  <si>
    <t>39.</t>
  </si>
  <si>
    <t>Tartós hitelviszonyt megtestesítő értékpapírok bevételei</t>
  </si>
  <si>
    <t>40.</t>
  </si>
  <si>
    <t>Forgatási célú hitelviszonyt megtestesítő értékpapírok bevételei</t>
  </si>
  <si>
    <t>41.</t>
  </si>
  <si>
    <t>FINANSZÍROZÁSI BEVÉTELEK ÖSSZESEN (37+…+40)</t>
  </si>
  <si>
    <t>42.</t>
  </si>
  <si>
    <t>PÉNZFORGALMI BEVÉTELEK (36+41)</t>
  </si>
  <si>
    <t>43.</t>
  </si>
  <si>
    <t>Pénzforgalom nélküli bevételek</t>
  </si>
  <si>
    <t>44.</t>
  </si>
  <si>
    <t>45.</t>
  </si>
  <si>
    <t>Kiegyenlítő, átfutó, függő bevételek</t>
  </si>
  <si>
    <t>46.</t>
  </si>
  <si>
    <t>BEVÉTELEK ÖSSZESEN (42+…+45)</t>
  </si>
  <si>
    <t>47.</t>
  </si>
  <si>
    <t xml:space="preserve">KÖLTSÉGVETÉSI BEVÉTELEK ÉS KIADÁSOK KÜLÖNBSÉGE </t>
  </si>
  <si>
    <t>(36+43-13-20)</t>
  </si>
  <si>
    <t>48.</t>
  </si>
  <si>
    <t>FINANSZÍROZÁSI MŰVELETEK EREDMÉNYE (41-18)</t>
  </si>
  <si>
    <t>49.</t>
  </si>
  <si>
    <t>TOVÁBBADÁSI CÉLÚ BEVÉTELEK ÉS KIADÁSOK KÜLÖNBSÉGE</t>
  </si>
  <si>
    <t>(44-21)</t>
  </si>
  <si>
    <t>50.</t>
  </si>
  <si>
    <t>AKTÍV ÉS PASSZÍV PÉNZÜGYI MŰVELETEK EGYENLEGE (45-22)</t>
  </si>
  <si>
    <t>22. melléklet</t>
  </si>
  <si>
    <t>EGYSZERŰSÍTETT PÉNZMARADVÁNY - KIMUTATÁS</t>
  </si>
  <si>
    <t>ELŐZŐ ÉV</t>
  </si>
  <si>
    <t>TÁRGYÉV</t>
  </si>
  <si>
    <t>Záró pénzkészlet</t>
  </si>
  <si>
    <t>Forgatási célú pénzügyi műveletek egyenlege</t>
  </si>
  <si>
    <t>Egyéb aktív és passzív pü-i elszám. összevont záróegyenlege (+, -)</t>
  </si>
  <si>
    <t>Előző év(ek )ben képzett tartalékok maradványa (-)</t>
  </si>
  <si>
    <t>Vállalkozási tevékenység pénzforgalmi eredménye (-)</t>
  </si>
  <si>
    <t>Tárgyévi helyesbített pénzmaradvány (1+2+-3-4-5)</t>
  </si>
  <si>
    <t>Finanszírozásból származó korrekciók (+, -)</t>
  </si>
  <si>
    <t>Pénzmaradványt terhelő elvonások (+, -)</t>
  </si>
  <si>
    <t>Költségvetési  pénzmaradvány (6+7+8)</t>
  </si>
  <si>
    <t>Vállalkozási tevékenység eredményéből alaptev.ellát-ra felhaszn.összeg</t>
  </si>
  <si>
    <t>Ktgsv-i pénzmaradványt külön jogszab.alapján mód.tétel (+, -)</t>
  </si>
  <si>
    <t>MÓDOSÍTOTT PÉNZMARADVÁNY ( 6 + - 7 + - 8 + - 9 + - 10)</t>
  </si>
  <si>
    <t xml:space="preserve"> - 12-ből Egészségbiztosítási alapból folyósított pénzmaradvány</t>
  </si>
  <si>
    <t xml:space="preserve"> - 12-ből Kötelezettségvállalással terhelt pénzmaradvány</t>
  </si>
  <si>
    <t xml:space="preserve"> - 12-ből Szabad pénzmaradvány</t>
  </si>
  <si>
    <t>23. melléklet</t>
  </si>
  <si>
    <t>Kimutatás EU-s forrásból kapott támogatásokról</t>
  </si>
  <si>
    <t>MEGNEVEZÉS</t>
  </si>
  <si>
    <t>BEVÉTELEK</t>
  </si>
  <si>
    <t>KIADÁSOK</t>
  </si>
  <si>
    <t>Vásárosnamény-Vitka</t>
  </si>
  <si>
    <t>hivatásforgalmú</t>
  </si>
  <si>
    <t>Vásárosnamény Centrum</t>
  </si>
  <si>
    <t>Akcióterület</t>
  </si>
  <si>
    <t>fejlesztése projekt</t>
  </si>
  <si>
    <t>Mindösszesen (1+2):</t>
  </si>
  <si>
    <t>24. melléklet</t>
  </si>
  <si>
    <t xml:space="preserve">Az Önkormányzati Lakásalap </t>
  </si>
  <si>
    <t>2010. évi bevételeinek és kiadásainak alakulása</t>
  </si>
  <si>
    <t>Ft-ban</t>
  </si>
  <si>
    <t xml:space="preserve">B e v é t e l e k </t>
  </si>
  <si>
    <t>K i a d á s o k</t>
  </si>
  <si>
    <t>Év</t>
  </si>
  <si>
    <t xml:space="preserve">Összeg </t>
  </si>
  <si>
    <t>1. 2008. év</t>
  </si>
  <si>
    <t xml:space="preserve">    1.1. Nyitó egyenleg</t>
  </si>
  <si>
    <t xml:space="preserve">    1.2. Záró egyenleg</t>
  </si>
  <si>
    <t>2. 2009. év</t>
  </si>
  <si>
    <t xml:space="preserve">    2.1. Nyitó egyenleg</t>
  </si>
  <si>
    <t xml:space="preserve">    2.2. Záró egyenleg</t>
  </si>
  <si>
    <t>3. 2010. év</t>
  </si>
  <si>
    <t xml:space="preserve">    3.1. Nyitó egyenleg</t>
  </si>
  <si>
    <t>3.2.1 Vételár befizetés</t>
  </si>
  <si>
    <t>3.2.2. Kamatjóváírás</t>
  </si>
  <si>
    <t>3.2.3. Vételár befizetés</t>
  </si>
  <si>
    <t>3.2.4. Kamatjóváírás</t>
  </si>
  <si>
    <t>3.2.5. Vételár befizetés</t>
  </si>
  <si>
    <t>3.2.6. Kamatjóváírás</t>
  </si>
  <si>
    <t xml:space="preserve">    3.2. Bevételek össz.:</t>
  </si>
  <si>
    <t>3.3.1. Műszaki tervkészítés-gázmérő csere</t>
  </si>
  <si>
    <t>3.3.2. Gázkazán vezeték beszabályozás költsége</t>
  </si>
  <si>
    <t xml:space="preserve">    3.3. Kiadások össz.:</t>
  </si>
  <si>
    <t xml:space="preserve">    3.4. Záró egyenleg</t>
  </si>
  <si>
    <t xml:space="preserve">    3.5. 2010. dec. 31.-én</t>
  </si>
  <si>
    <t xml:space="preserve">           átvezetés nélküli</t>
  </si>
  <si>
    <t xml:space="preserve">           egyenleg</t>
  </si>
  <si>
    <t>20. melléklet</t>
  </si>
  <si>
    <t>VAGYONKIMUTATÁS</t>
  </si>
  <si>
    <t>a könyiteli mérlegben értékkel szereplő eszközökről és forrásokról</t>
  </si>
  <si>
    <t>ESZKÖZÖK</t>
  </si>
  <si>
    <t>Sorszám</t>
  </si>
  <si>
    <t>Bruttó</t>
  </si>
  <si>
    <t>Könyv szerinti</t>
  </si>
  <si>
    <t>Becsült</t>
  </si>
  <si>
    <t>állomány érték</t>
  </si>
  <si>
    <t>I. Immateriális javak (02+09+12+13+14)</t>
  </si>
  <si>
    <t>01.</t>
  </si>
  <si>
    <t>1. Törzsvagyon (03+06)</t>
  </si>
  <si>
    <t>02.</t>
  </si>
  <si>
    <t xml:space="preserve">  1.1. Forgalomképtelen immateriális javak (04+05)</t>
  </si>
  <si>
    <t>03.</t>
  </si>
  <si>
    <t xml:space="preserve">     1.1.1. Értékkel nyilvántartott forgalomképtelen immateriális javak</t>
  </si>
  <si>
    <t>04.</t>
  </si>
  <si>
    <t xml:space="preserve">     1.1.2. 0-ig leírt forgalomképtelen immateriális javak</t>
  </si>
  <si>
    <t>05.</t>
  </si>
  <si>
    <t xml:space="preserve">  1.2. Korlátozottan forgalomképes immateriális javak (07+08)</t>
  </si>
  <si>
    <t>06.</t>
  </si>
  <si>
    <t xml:space="preserve">    1.2.1. Értékkel nyilvántartott korlátozottan forgalomkép. imm. j.</t>
  </si>
  <si>
    <t>07.</t>
  </si>
  <si>
    <t xml:space="preserve">    1.2.2. 0-ig leírt korlátozottan forgalomképes immateriális javak</t>
  </si>
  <si>
    <t>08.</t>
  </si>
  <si>
    <t>2. Forgalomképes immateriális javak (10+11)</t>
  </si>
  <si>
    <t>09.</t>
  </si>
  <si>
    <t xml:space="preserve">    2.1.1. Értékkel nyilvántartott forgalomképes immateriális javak</t>
  </si>
  <si>
    <t xml:space="preserve">    2.1.2. 0-ig leírt forgalomképes immateriális javak</t>
  </si>
  <si>
    <t>3. Immateriális javakra adott előlegek</t>
  </si>
  <si>
    <t>4. 0-ig leírt immateriális javak</t>
  </si>
  <si>
    <t>5. Immateriális javak értékhelyesbítése</t>
  </si>
  <si>
    <t>II. Tárgyi eszközök (16+86+106+125)</t>
  </si>
  <si>
    <t>II/1. Ingatlanok és kapcsolódó vagyoni értékű jogok (17+73+84+85)</t>
  </si>
  <si>
    <t>1. Törgyvagyon (18+38)</t>
  </si>
  <si>
    <t xml:space="preserve">  1.1. Forgalomképtelen ingatl. és kapcs. vagyoni értékű jogok (5-től 11-ig) (19+22+25+28+31+34+37)</t>
  </si>
  <si>
    <t xml:space="preserve">     1.1.1. Út, híd, járda, alul-és felüljárók (20+21)</t>
  </si>
  <si>
    <t xml:space="preserve">        1.1.1.1. Értékkel nyilvántartott út, híd, járda, alul-és felüljárók</t>
  </si>
  <si>
    <t xml:space="preserve">        1.1.1.2. 0-ig leírt út, híd, járda, alul- és felüljárók</t>
  </si>
  <si>
    <t xml:space="preserve">     1.1.2. Közforgalmú repülőtér (23+24)</t>
  </si>
  <si>
    <t xml:space="preserve">        1.1.2.1. Értékkel nyilvántartott közforgalmi repülőtér</t>
  </si>
  <si>
    <t xml:space="preserve">        1.1.2.2. 0-ig leírt közforgalmi repülőtér</t>
  </si>
  <si>
    <t xml:space="preserve">     1.1.3. Parkok, játszóterek (26+27)</t>
  </si>
  <si>
    <t xml:space="preserve">        1.1.3.1. Értékkel nyilvántartott parkok, játszóterek</t>
  </si>
  <si>
    <t xml:space="preserve">        1.1.3.2. 0-ig leírt parkok, játszóterek</t>
  </si>
  <si>
    <t xml:space="preserve">     1.1.4. Folyók, vízfolyások, természetes és mesterséges tavak (29+30)</t>
  </si>
  <si>
    <t xml:space="preserve">        1.1.4.1. Értékkel nyilvántartott folyók, vízfolyások term. és mest. tavak</t>
  </si>
  <si>
    <t xml:space="preserve">        1.1.4.2. 0-ig leírt folyók, vízfolyások, term. és mest. tavak</t>
  </si>
  <si>
    <t xml:space="preserve">     1.1.5. Árvízvédelmi töltések, belvízcsatornák (32+33)</t>
  </si>
  <si>
    <t xml:space="preserve">        1.1.5.1. Értékkel nyilvántartott árvízvédelmi töltések, belvízcsatornák</t>
  </si>
  <si>
    <t xml:space="preserve">        1.1.5.2. 0-ig leírt árvízvédelmi töltések, belvízcsatornák</t>
  </si>
  <si>
    <t xml:space="preserve">     1.1.6. Egyéb ingatlanok (35+36)</t>
  </si>
  <si>
    <t xml:space="preserve">        1.1.6.1. Értékkel nyilvántartott egyéb ingatlanok</t>
  </si>
  <si>
    <t xml:space="preserve">        1.1.6.2. 0-ig leírt egyéb ingatlanok</t>
  </si>
  <si>
    <t xml:space="preserve">     1.1.7. Folyamatban lévő ingatlan beruházás, felújítás</t>
  </si>
  <si>
    <t xml:space="preserve">  1.2. Korl. fogalomk. ingatl. és kapcs. vagyoni értékű jogok (13-tól 23-ig) (39+42+45+48+51+54+57+60+63+66+69+72)</t>
  </si>
  <si>
    <t xml:space="preserve">    1.2.1. Vízellátás közművei (40+41)</t>
  </si>
  <si>
    <t xml:space="preserve">       1.2.1.1. Értékkel nyilvántartott vízellátás közművei</t>
  </si>
  <si>
    <t xml:space="preserve">       1.2.1.2. 0-ig leírt vízellátás közművei</t>
  </si>
  <si>
    <t xml:space="preserve">    1.2.2. Szennyvíz és csapadékvíz elvezetés közművei (43+44)</t>
  </si>
  <si>
    <t xml:space="preserve">       1.2.2.1. Értékkel nyilvántartott szennyvíz és csapadékvíz elvezetés közm.</t>
  </si>
  <si>
    <t xml:space="preserve">       1.2.2.2. 0-ig leírt szennyvíz és csapadékvíz elvezetés közm.</t>
  </si>
  <si>
    <t xml:space="preserve">    1.2.3. Távhőellátás (46+47)</t>
  </si>
  <si>
    <t xml:space="preserve">       1.2.3.1. Értékkel nyilvántartott távhőellátás</t>
  </si>
  <si>
    <t xml:space="preserve">       1.2.3.2. 0-ig leírt távhőellátás</t>
  </si>
  <si>
    <t xml:space="preserve">    1.2.4. Közművek védőterületei (49+50)</t>
  </si>
  <si>
    <t xml:space="preserve">       1.2.4.1. Értékkel nyilvántartott közművek védőterületei</t>
  </si>
  <si>
    <t xml:space="preserve">       1.2.4.2. 0-ig leírt közművek védőterületei</t>
  </si>
  <si>
    <t xml:space="preserve">    1.2.5. Intézmények ingatlanai (52+53)</t>
  </si>
  <si>
    <t>51.</t>
  </si>
  <si>
    <t xml:space="preserve">       1.2.5.1. Értékkel nyilvántartott intézmények ingatlanai</t>
  </si>
  <si>
    <t>52.</t>
  </si>
  <si>
    <t xml:space="preserve">       1.2.5.2. 0-ig leírt intézmények ingatlanai</t>
  </si>
  <si>
    <t>53.</t>
  </si>
  <si>
    <t xml:space="preserve">    1.2.6. Sportlétesítmények (55+56)</t>
  </si>
  <si>
    <t>54.</t>
  </si>
  <si>
    <t xml:space="preserve">       1.2.6.1. Értékkel nyilvántartott sportlétesítmények</t>
  </si>
  <si>
    <t>55.</t>
  </si>
  <si>
    <t xml:space="preserve">       1.2.6.2. 0-ig leírt nyilvántartott sportlétesítmények</t>
  </si>
  <si>
    <t>56.</t>
  </si>
  <si>
    <t xml:space="preserve">    1.2.7. Állat-és növénykert (58+59)</t>
  </si>
  <si>
    <t>57.</t>
  </si>
  <si>
    <t xml:space="preserve">       1.2.7.1. Értékkel nyilvántartott állat- és növénykert</t>
  </si>
  <si>
    <t>58.</t>
  </si>
  <si>
    <t xml:space="preserve">       1.2.7.2. 0-ig leírt állat- és növénykert </t>
  </si>
  <si>
    <t>59.</t>
  </si>
  <si>
    <t xml:space="preserve">    1.2.8. Középületek és hozzájuk tartozó földek (61+62)</t>
  </si>
  <si>
    <t>60.</t>
  </si>
  <si>
    <t xml:space="preserve">       1.2.8.1. Értékkel nyilvántartott középületek és hozzájuk tartozó földek</t>
  </si>
  <si>
    <t>61.</t>
  </si>
  <si>
    <t xml:space="preserve">       1.2.8.2. 0-ig leírt középületek és hozzájuk tartozó földek</t>
  </si>
  <si>
    <t>62.</t>
  </si>
  <si>
    <t xml:space="preserve">    1.2.9. Műemlékek (64+65)</t>
  </si>
  <si>
    <t>63.</t>
  </si>
  <si>
    <t xml:space="preserve">       1.2.9.1. Értékkel nyilvántartott műemlékek</t>
  </si>
  <si>
    <t>64.</t>
  </si>
  <si>
    <t xml:space="preserve">       1.2.9.2. 0-ig leírt műemlékek</t>
  </si>
  <si>
    <t>65.</t>
  </si>
  <si>
    <t xml:space="preserve">    1.2.10. Védett természeti területek (67+68)</t>
  </si>
  <si>
    <t>66.</t>
  </si>
  <si>
    <t xml:space="preserve">       1.2.10.1. Értékkel nyilvántartott védett természeti területek</t>
  </si>
  <si>
    <t>67.</t>
  </si>
  <si>
    <t xml:space="preserve">       1.2.10.2. 0-ig leírt védett természeti területek</t>
  </si>
  <si>
    <t>68.</t>
  </si>
  <si>
    <t xml:space="preserve">    1.2.11. Egyéb ingatlanok (70+71)</t>
  </si>
  <si>
    <t>69.</t>
  </si>
  <si>
    <t xml:space="preserve">       1.2.11.1. Értékkel nyilvántartott egyéb ingatlanok</t>
  </si>
  <si>
    <t>70.</t>
  </si>
  <si>
    <t xml:space="preserve">       1.2.11.2. 0-ig leírt egyéb ingatlanok</t>
  </si>
  <si>
    <t>71.</t>
  </si>
  <si>
    <t xml:space="preserve">    1.2.12. Folyamatban lévő ingatlan beruházás</t>
  </si>
  <si>
    <t>72.</t>
  </si>
  <si>
    <t>2. Forgalomképes ingatlanok (74+77+80+83)</t>
  </si>
  <si>
    <t>73.</t>
  </si>
  <si>
    <t xml:space="preserve">    2.1.1. Telkek, zártkerti- és külterületi földterületek (75+76)</t>
  </si>
  <si>
    <t>74.</t>
  </si>
  <si>
    <t xml:space="preserve">       2.1.1.1. Értékkel nyilvántartott telkek, zártkerti- és külterületi földter-ek</t>
  </si>
  <si>
    <t>75.</t>
  </si>
  <si>
    <t xml:space="preserve">       2.1.1.2. 0-ig leírt telkek, zártkerti- és külterületi földterületek</t>
  </si>
  <si>
    <t>76.</t>
  </si>
  <si>
    <t xml:space="preserve">    2.1.2. Épületek (78+79)</t>
  </si>
  <si>
    <t>77.</t>
  </si>
  <si>
    <t xml:space="preserve">       2.1.2.1. Értékkel nyilvántartott épületek</t>
  </si>
  <si>
    <t>78.</t>
  </si>
  <si>
    <t xml:space="preserve">       2.1.2.2. 0-ig leírt épületek</t>
  </si>
  <si>
    <t>79.</t>
  </si>
  <si>
    <t xml:space="preserve">    2.1.3. Egyéb ingatlanok (81+82)</t>
  </si>
  <si>
    <t>80.</t>
  </si>
  <si>
    <t xml:space="preserve">       2.1.3.1. Értékkel nyilvántartott egyéb ingatlanok</t>
  </si>
  <si>
    <t>81.</t>
  </si>
  <si>
    <t xml:space="preserve">       2.1.3.2. 0-ig leírt egyéb ingatlanok</t>
  </si>
  <si>
    <t>82.</t>
  </si>
  <si>
    <t xml:space="preserve">    2.1.4. Folyamatban lévő forgalomképes ingatlan beruházás</t>
  </si>
  <si>
    <t>83.</t>
  </si>
  <si>
    <t>3. Ingatlanok beruházására adott előlegek</t>
  </si>
  <si>
    <t>84.</t>
  </si>
  <si>
    <t>5. Ingatlanok és kapcsolódó vagyoni értékű jogok értékhelyesbítése, visszaírása</t>
  </si>
  <si>
    <t>85.</t>
  </si>
  <si>
    <t>II/2. Gépek, berendezések és felszerelések (87+98+103+104+105)</t>
  </si>
  <si>
    <t>86.</t>
  </si>
  <si>
    <t>1. Törzsvagyon (88+93)</t>
  </si>
  <si>
    <t>87.</t>
  </si>
  <si>
    <t xml:space="preserve">  1.1. Forgalomképelen gépek, berendezések és felszerelések (89+92)</t>
  </si>
  <si>
    <t>88.</t>
  </si>
  <si>
    <t xml:space="preserve">    1.1.1. Forgalomképtelen gépek, berendezések és felszerelések áll-a (90+91)</t>
  </si>
  <si>
    <t>89.</t>
  </si>
  <si>
    <t xml:space="preserve">       1.1.1.1. Értékkel nyilvántartott forgalomképt. gép, berend., és felszerelés</t>
  </si>
  <si>
    <t>90.</t>
  </si>
  <si>
    <t xml:space="preserve">       1.1.1.2. 0-ig leírt forgalomképtelen gép, berendezés és felszerelés</t>
  </si>
  <si>
    <t>91.</t>
  </si>
  <si>
    <t xml:space="preserve">   1.1.2. Folyamatban lévő forgalomképtelen gép, berendezés beruházás</t>
  </si>
  <si>
    <t>92.</t>
  </si>
  <si>
    <t xml:space="preserve">  1.2. Korlátozottan forgalomképes gépek, berendezések és felsz.-ek (94+97)</t>
  </si>
  <si>
    <t>93.</t>
  </si>
  <si>
    <t xml:space="preserve">    1.2.1. Korlátozottan forgalomképes gépek, berend.és felsz. áll-a (95+96)</t>
  </si>
  <si>
    <t>94.</t>
  </si>
  <si>
    <t xml:space="preserve">       1.2.1.1. Értékkel nyilvántartott korl. forgalomképt. gép, berend., és felsz.</t>
  </si>
  <si>
    <t>95.</t>
  </si>
  <si>
    <t xml:space="preserve">       1.2.1.2. 0-ig leírt korl. forgalomképt. gép, berend., és felsz.</t>
  </si>
  <si>
    <t>96.</t>
  </si>
  <si>
    <t xml:space="preserve">    1.2.2. Folyamatban lévő korlátozottan forgalomk. gép, berend. beruházás</t>
  </si>
  <si>
    <t>97.</t>
  </si>
  <si>
    <t>2. Forgalomképes gépek, berendezések, felszerelések (99+102)</t>
  </si>
  <si>
    <t>98.</t>
  </si>
  <si>
    <t xml:space="preserve">  2.1. Forgalomképes gépek, berendezések és felszerelések áll-a (100+101)</t>
  </si>
  <si>
    <t>99.</t>
  </si>
  <si>
    <t xml:space="preserve">    2.1.1. Értékkel nyilvántartott forgalomképes gép, berendezés és felszerelés</t>
  </si>
  <si>
    <t>100.</t>
  </si>
  <si>
    <t xml:space="preserve">    2.1.2. 0-ig leírt forgalomképes gép, berendezés és felszerelés</t>
  </si>
  <si>
    <t>101.</t>
  </si>
  <si>
    <t xml:space="preserve">  2.2. Folyamatban lévő forgalomképes gép, berendezés beruházás</t>
  </si>
  <si>
    <t>102.</t>
  </si>
  <si>
    <t>3. Kisértékű (új) tárgyi eszközök raktári állománya</t>
  </si>
  <si>
    <t>103.</t>
  </si>
  <si>
    <t>4. Gépek, berendezések és felszerelések beruházására adott előlegek</t>
  </si>
  <si>
    <t>104.</t>
  </si>
  <si>
    <t>5. Gépek, berendezések és felszerelések értékhelyesbítése, visszaírása</t>
  </si>
  <si>
    <t>105.</t>
  </si>
  <si>
    <t>II/2. Járművek (107+118+123+124)</t>
  </si>
  <si>
    <t>106.</t>
  </si>
  <si>
    <t>1. Törzsvagyon (108+113)</t>
  </si>
  <si>
    <t>107.</t>
  </si>
  <si>
    <t xml:space="preserve">  1.1. Forgalomképtelen járművek (109+112)</t>
  </si>
  <si>
    <t>108.</t>
  </si>
  <si>
    <t xml:space="preserve">    1.1.1. Forgalomképtelen járművek állománya (110+111)</t>
  </si>
  <si>
    <t>109.</t>
  </si>
  <si>
    <t xml:space="preserve">       1.1.1.1. Értékkel nyilvántartott forgalomképtelen járművek</t>
  </si>
  <si>
    <t>110.</t>
  </si>
  <si>
    <t xml:space="preserve">       1.1.1.2. 0-ig leírt forgalomképtelen járművek</t>
  </si>
  <si>
    <t>111.</t>
  </si>
  <si>
    <t xml:space="preserve">    1.1.2. Folyamatban lévő forgalomképtelen járművek beruházása</t>
  </si>
  <si>
    <t>112.</t>
  </si>
  <si>
    <t xml:space="preserve">  1.2. Korlátozottan forgalomképes járművek (114+117)</t>
  </si>
  <si>
    <t>113.</t>
  </si>
  <si>
    <t xml:space="preserve">   1.2.1. Korlátozottan forgalomképtelen járművek állománya (115+116)</t>
  </si>
  <si>
    <t>114.</t>
  </si>
  <si>
    <t xml:space="preserve">       1.2.1.1. Értékkel nyilvántartott korlátozottan forgalomképes járművek</t>
  </si>
  <si>
    <t>115.</t>
  </si>
  <si>
    <t xml:space="preserve">       1.2.1.2.  0-ig leírt korlátozottan forgalomképes járművek</t>
  </si>
  <si>
    <t>116.</t>
  </si>
  <si>
    <t xml:space="preserve">    1.1.2. Folyamatban lévő korlátozottan forgalomképes járművek beruházása</t>
  </si>
  <si>
    <t>117.</t>
  </si>
  <si>
    <t>2. Forgalomképes járművek (119+122)</t>
  </si>
  <si>
    <t>118.</t>
  </si>
  <si>
    <t xml:space="preserve">  2.1. Forgalomképes járművek állománya (120+121)</t>
  </si>
  <si>
    <t>119.</t>
  </si>
  <si>
    <t xml:space="preserve">       2.1.1.1. Értékkel nyilvántartott forgalomképes járművek</t>
  </si>
  <si>
    <t>120.</t>
  </si>
  <si>
    <t xml:space="preserve">       2.1.1.2. 0-ig leírt forgalomképes járművek</t>
  </si>
  <si>
    <t>121.</t>
  </si>
  <si>
    <t xml:space="preserve">  2.2. Folyamatban lévő forgalomképes járművek beruházása</t>
  </si>
  <si>
    <t>122.</t>
  </si>
  <si>
    <t>3. Járművek beruházására adott előlegek</t>
  </si>
  <si>
    <t>123.</t>
  </si>
  <si>
    <t>4. Járművek értékhelyesbítése, visszaírása</t>
  </si>
  <si>
    <t>124.</t>
  </si>
  <si>
    <t>II/3. Beruházások, felújítások (126)</t>
  </si>
  <si>
    <t>125.</t>
  </si>
  <si>
    <t>1. Beuházások (127+…+132)</t>
  </si>
  <si>
    <t>126.</t>
  </si>
  <si>
    <t xml:space="preserve">  1.1.Korlátozottan forgalomképes épületek</t>
  </si>
  <si>
    <t>127.</t>
  </si>
  <si>
    <t xml:space="preserve">  1.2. Korlátozottan forgalomképes egyéb építmények</t>
  </si>
  <si>
    <t>128.</t>
  </si>
  <si>
    <t xml:space="preserve">  1.3. Forgalomképes épületek</t>
  </si>
  <si>
    <t>129.</t>
  </si>
  <si>
    <t xml:space="preserve">  1.4. Forgalomképes egyéb építmények</t>
  </si>
  <si>
    <t>130.</t>
  </si>
  <si>
    <t xml:space="preserve">  1.5. Forgalomképtelen épületek</t>
  </si>
  <si>
    <t>131.</t>
  </si>
  <si>
    <t xml:space="preserve">  1.6. Forgalomképtelen egyéb építmények</t>
  </si>
  <si>
    <t>132.</t>
  </si>
  <si>
    <t>III. Befektetett pénzügyi eszközök (134)</t>
  </si>
  <si>
    <t>133.</t>
  </si>
  <si>
    <t>III/1. Tartós részesedés (135+137+138+143)</t>
  </si>
  <si>
    <t>134.</t>
  </si>
  <si>
    <t>1. Törzsvagyon (136)</t>
  </si>
  <si>
    <t>135.</t>
  </si>
  <si>
    <t xml:space="preserve">  1.1. Forgalomképtelen tartós részesedés</t>
  </si>
  <si>
    <t>136.</t>
  </si>
  <si>
    <t>2. Forgalomképes egyéb tartós részesedés</t>
  </si>
  <si>
    <t>137.</t>
  </si>
  <si>
    <t>3. Egyéb forgalomképes pénzügyi befektetések (139+…+142)</t>
  </si>
  <si>
    <t>138.</t>
  </si>
  <si>
    <t xml:space="preserve">  3.1. Tartós hitelviszonyt megtestesítő értékpapír</t>
  </si>
  <si>
    <t>139.</t>
  </si>
  <si>
    <t xml:space="preserve">  3.2. Tartósan adott kölcsön</t>
  </si>
  <si>
    <t>140.</t>
  </si>
  <si>
    <t xml:space="preserve">  3.3. Hosszú lejáratú bankbetétek</t>
  </si>
  <si>
    <t>141.</t>
  </si>
  <si>
    <t xml:space="preserve">  3.4. Egyéb hosszú leáratú követelések</t>
  </si>
  <si>
    <t>142.</t>
  </si>
  <si>
    <t>4. Befektett pénzügyi eszközök értékhelyesbítése</t>
  </si>
  <si>
    <t>143.</t>
  </si>
  <si>
    <t>IV. Üzemelt., kezelésre átadott, koncesszióba adott, vagyonkezelésbe vett eszközök (145+164)</t>
  </si>
  <si>
    <t>144.</t>
  </si>
  <si>
    <t>1. Törzsvagyon (üzemeltetésre, kezelésre átadott, konc.-ba adott, vagyonk. vett. eszk.) (146+153+160)</t>
  </si>
  <si>
    <t>145.</t>
  </si>
  <si>
    <t xml:space="preserve">  1.1. Törzsvagyon (üzemeltetésre átadott épület, építmény) (147+150)</t>
  </si>
  <si>
    <t>146.</t>
  </si>
  <si>
    <t xml:space="preserve">    1.1.1. Forgalomképtelen üzemelt., koncesszióba adott, vagyonkezelésbe vett épület, építmény (148+149)</t>
  </si>
  <si>
    <t>147.</t>
  </si>
  <si>
    <t xml:space="preserve">       1.1.1.1. Értékkel nyilvántartott forgalomképt. üzem. adott épület, építmény</t>
  </si>
  <si>
    <t>148.</t>
  </si>
  <si>
    <t xml:space="preserve">       1.1.1.2. 0-ig leírt forgalomképt. üzem. adott épület, építmény</t>
  </si>
  <si>
    <t>149.</t>
  </si>
  <si>
    <t xml:space="preserve">    1.1.2. Korlátozottan forgalomképtelen üzemeltetésre adott, konc. adott, vagyonk. vett épület, építm. (151+152)</t>
  </si>
  <si>
    <t>150.</t>
  </si>
  <si>
    <t xml:space="preserve">       1.1.2.1. Értékkel nyilvántart. korl. forgalomk. üzem. adott épület, építmény</t>
  </si>
  <si>
    <t>151.</t>
  </si>
  <si>
    <t xml:space="preserve">       1.1.2.2. 0-ig leírt forgalomképtelen üzem. adott épület, építmény</t>
  </si>
  <si>
    <t>152.</t>
  </si>
  <si>
    <t xml:space="preserve">  1.2. Törzsvagyon (üzemelt-re átadott gépek, berend-ek, felsz.) (154+157)</t>
  </si>
  <si>
    <t>153.</t>
  </si>
  <si>
    <t xml:space="preserve">    1.2.1. Forgképt. üzemelt, konc.adott, vagyonk. vett gép, ber., felsz. (155+156)</t>
  </si>
  <si>
    <t>154.</t>
  </si>
  <si>
    <t xml:space="preserve">       1.2.1.1. Értékkel nyilvántartott forgalomképt. üzem. adott gép, ber., felsz.</t>
  </si>
  <si>
    <t>155.</t>
  </si>
  <si>
    <t xml:space="preserve">       1.2.1.2. 0-ig leírt korl. forgalomképes üzem. adott gép, berendezés, felsz.</t>
  </si>
  <si>
    <t>156.</t>
  </si>
  <si>
    <t xml:space="preserve">    1.2.2. Korl.forgkép. üzemelt,konc.adott,vagyonk.vett gép,ber.,felsz.(158+159)</t>
  </si>
  <si>
    <t>157.</t>
  </si>
  <si>
    <t xml:space="preserve">       1.2.2.1. Értékkel nyilvánt. korl. forgalomképes üzem.adott gép, ber., felsz.</t>
  </si>
  <si>
    <t>158.</t>
  </si>
  <si>
    <t xml:space="preserve">       1.2.2.2. 0-ig leírt korl. forgalomképes üzem. adott gép, ber., felsz.</t>
  </si>
  <si>
    <t>159.</t>
  </si>
  <si>
    <t xml:space="preserve">  1.3. Törzsvagyon (üzemeltetésre átadott járművek) (161)</t>
  </si>
  <si>
    <t>160.</t>
  </si>
  <si>
    <t xml:space="preserve">    1.3.1. Korl. forgalomk. üzemelt,konc.adott,vagyonk. vett járművek (162+163)</t>
  </si>
  <si>
    <t>161.</t>
  </si>
  <si>
    <t xml:space="preserve">       1.3.1.1. Értékkel nyilvánt. korlforgalomk. üzem. adott járművek</t>
  </si>
  <si>
    <t>162.</t>
  </si>
  <si>
    <t xml:space="preserve">       1.3.1.2. 0-ig leírt korl. forgalomk. üzem. adott járművek</t>
  </si>
  <si>
    <t>163.</t>
  </si>
  <si>
    <t>2. Forgalomképes, üzemeletetésre átadott, konc. adott, vagyonkezelésbe vett eszközök (165+168+171+174)</t>
  </si>
  <si>
    <t>164.</t>
  </si>
  <si>
    <t xml:space="preserve">  2.1. Forgalomképes (üzemelt. kezelésre konc. adott, vagyonk. vett épület, építmény (166+167)</t>
  </si>
  <si>
    <t>165.</t>
  </si>
  <si>
    <t xml:space="preserve">    2.1.1. Értékkel nyilvántartott forgalomképes üzem. adott épület, építmény</t>
  </si>
  <si>
    <t>166.</t>
  </si>
  <si>
    <t xml:space="preserve">    2.1.2. 0-ig leírt forgalomképes üzem. adott épület, építmény</t>
  </si>
  <si>
    <t>167.</t>
  </si>
  <si>
    <t xml:space="preserve">  2.2. Forgalomképes üzemelt., koncesszióba adott,vagyonkezelésbe vett gépek, berendezések, felszerelések (169+170)</t>
  </si>
  <si>
    <t>168.</t>
  </si>
  <si>
    <t xml:space="preserve">    2.2.1. Értékkel nyilvánt. forgalomképt. üzem. adott gép, ber., felszerelés</t>
  </si>
  <si>
    <t>169.</t>
  </si>
  <si>
    <t xml:space="preserve">    2.2. 0-ig leírt korl.forgalomk. üzem. adott gép, ber., felszerelés</t>
  </si>
  <si>
    <t>170.</t>
  </si>
  <si>
    <t xml:space="preserve">  2.3.Forgalomkép. üzemelt, konc.adott, vagyonk. vett járművek (172+173)</t>
  </si>
  <si>
    <t>171.</t>
  </si>
  <si>
    <t xml:space="preserve">        2.3.1 Értékkel nyílvántartott forgalomképe üzem. adott járművek</t>
  </si>
  <si>
    <t>172.</t>
  </si>
  <si>
    <t xml:space="preserve">        2.3.2  0-ig leírt forgalomlképes.üzem.adott járművek</t>
  </si>
  <si>
    <t>173.</t>
  </si>
  <si>
    <t xml:space="preserve">  2.4.Forgalomkép. üzemelt, konc.adott, vagyonk. vett tenyészáll. (175+176)</t>
  </si>
  <si>
    <t>174.</t>
  </si>
  <si>
    <t xml:space="preserve">        2.4.1 Értékkel nyílvántartott forgalomképes üzem.adott tenyészállatok</t>
  </si>
  <si>
    <t>175.</t>
  </si>
  <si>
    <t xml:space="preserve">        2.4.2 0-ig leírt forgalomképes üzem.adott tenyészállatok</t>
  </si>
  <si>
    <t>176.</t>
  </si>
  <si>
    <t>A) BEFEKTETETT ESZKÖZÖK ÖSSZESEN (1+15+133+144)</t>
  </si>
  <si>
    <t>177.</t>
  </si>
  <si>
    <t>I. Készletek (179+187+197)</t>
  </si>
  <si>
    <t>178.</t>
  </si>
  <si>
    <t>1. Vásárolt anyagok (180+…+186)</t>
  </si>
  <si>
    <t>179.</t>
  </si>
  <si>
    <t xml:space="preserve">        1.1. Élelmiszerek</t>
  </si>
  <si>
    <t>180.</t>
  </si>
  <si>
    <t xml:space="preserve">        1.2. Gyógyszerek, vegyszerek</t>
  </si>
  <si>
    <t>181.</t>
  </si>
  <si>
    <t xml:space="preserve">        1.3. Irodaszerek nyomtatványok</t>
  </si>
  <si>
    <t>182.</t>
  </si>
  <si>
    <t xml:space="preserve">        1.4. Tüzelőanyagok</t>
  </si>
  <si>
    <t>183.</t>
  </si>
  <si>
    <t xml:space="preserve">        1.5. Hajtó és kenőanyagok</t>
  </si>
  <si>
    <t>184.</t>
  </si>
  <si>
    <t xml:space="preserve">        1.6. Szakmai anyagok</t>
  </si>
  <si>
    <t>185.</t>
  </si>
  <si>
    <t xml:space="preserve">        1.7. Munkaruha, védőruha, formaruha, egyenruha</t>
  </si>
  <si>
    <t>186.</t>
  </si>
  <si>
    <t>2. Egyéb készletek (188+..+192)</t>
  </si>
  <si>
    <t>187.</t>
  </si>
  <si>
    <t xml:space="preserve">        2.1. Áruk</t>
  </si>
  <si>
    <t>188.</t>
  </si>
  <si>
    <t xml:space="preserve">        2.2. Betétdíjas göngyölegek</t>
  </si>
  <si>
    <t>189.</t>
  </si>
  <si>
    <t xml:space="preserve">        2.3. Közvetített szolgáltatások</t>
  </si>
  <si>
    <t>190.</t>
  </si>
  <si>
    <t xml:space="preserve">        2.4. Követelés fejében átvett eszközök, készletek</t>
  </si>
  <si>
    <t>191.</t>
  </si>
  <si>
    <t xml:space="preserve">        2.5. Értékesítési céllal átsorolt eszközök (193+…+196)</t>
  </si>
  <si>
    <t>192.</t>
  </si>
  <si>
    <t xml:space="preserve">           2.5.1. Épületek építmények</t>
  </si>
  <si>
    <t>193.</t>
  </si>
  <si>
    <t xml:space="preserve">           2.5.2. Gépek, berendezések és felszerelések</t>
  </si>
  <si>
    <t>194.</t>
  </si>
  <si>
    <t xml:space="preserve">           2.5.3. Járművek</t>
  </si>
  <si>
    <t>195.</t>
  </si>
  <si>
    <t xml:space="preserve">           2.5.4. Tenyészállatok</t>
  </si>
  <si>
    <t>196.</t>
  </si>
  <si>
    <t>3. Saját termelésű készletek (198+..+200)</t>
  </si>
  <si>
    <t>197.</t>
  </si>
  <si>
    <t xml:space="preserve">        3.1. Késztermékek</t>
  </si>
  <si>
    <t>198.</t>
  </si>
  <si>
    <t xml:space="preserve">        3.2. Növendék-, hízó- és egyéb állatok</t>
  </si>
  <si>
    <t>199.</t>
  </si>
  <si>
    <t xml:space="preserve">        3.3. Befejezetlen termelés, félkész termékek</t>
  </si>
  <si>
    <t>200.</t>
  </si>
  <si>
    <t>II. Követelések (202+203+208+221+222+223)</t>
  </si>
  <si>
    <t>201.</t>
  </si>
  <si>
    <t>1. Követelések áruszállításból, szolgáltatásból (vevők)</t>
  </si>
  <si>
    <t>202.</t>
  </si>
  <si>
    <t>2. Adósok (204+..+207)</t>
  </si>
  <si>
    <t>203.</t>
  </si>
  <si>
    <t xml:space="preserve">        2.1. Helyi adók hátralék</t>
  </si>
  <si>
    <t>204.</t>
  </si>
  <si>
    <t xml:space="preserve">        2.2. Lakbér, bérleti díj hátralék</t>
  </si>
  <si>
    <t>205.</t>
  </si>
  <si>
    <t xml:space="preserve">        2.3. Térítési díj hátralék</t>
  </si>
  <si>
    <t>206.</t>
  </si>
  <si>
    <t xml:space="preserve">        2.4. Gépjárműadóval kapcsolatos követelések</t>
  </si>
  <si>
    <t>207.</t>
  </si>
  <si>
    <t>3. Rövid lejáratú kölcsönök (209+215)</t>
  </si>
  <si>
    <t>208.</t>
  </si>
  <si>
    <t xml:space="preserve">        3.1. Működési célú rövid lejáratú köcsönök (209+215)</t>
  </si>
  <si>
    <t>209.</t>
  </si>
  <si>
    <t xml:space="preserve">           3.1.1. Önkormányzati költségvetési szervnek nyújtott kölcsön</t>
  </si>
  <si>
    <t>210.</t>
  </si>
  <si>
    <t xml:space="preserve">           3.1.2. Központi költségvetési szervnek nyújtott kölcsön</t>
  </si>
  <si>
    <t>211.</t>
  </si>
  <si>
    <t xml:space="preserve">           3.1.3. Többcélú kistérségi társulásnak nyújtott kölcsön</t>
  </si>
  <si>
    <t>212.</t>
  </si>
  <si>
    <t xml:space="preserve">           3.1.4. Non-profit szervezetnek nyújtott kölcsön</t>
  </si>
  <si>
    <t>213.</t>
  </si>
  <si>
    <t xml:space="preserve">           3.1.5. Önk-i többségi tul-ban lévő vállalkozásnak nyújtott kölcsön</t>
  </si>
  <si>
    <t>214.</t>
  </si>
  <si>
    <t xml:space="preserve">       3.2. Felhalmozási célú rövid lejáratú kölcsönök (216+  +220)</t>
  </si>
  <si>
    <t>215.</t>
  </si>
  <si>
    <t xml:space="preserve">        3.2.1. Önkormányzati költségvetési szervnek nyújtott kölcsön</t>
  </si>
  <si>
    <t>216.</t>
  </si>
  <si>
    <t xml:space="preserve">        3.2.2. Központi költségvetési szervenek nyújtott kölcsön</t>
  </si>
  <si>
    <t>217.</t>
  </si>
  <si>
    <t xml:space="preserve">        3.2.3. Lakosságnak nyújtott kölcsön</t>
  </si>
  <si>
    <t>218.</t>
  </si>
  <si>
    <t xml:space="preserve">        3.2.4. Non-profit szervezeteknek nyújtott kölcsön</t>
  </si>
  <si>
    <t>219.</t>
  </si>
  <si>
    <t xml:space="preserve">        3.2.5. Vállakozásoknak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</si>
  <si>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</si>
  <si>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</si>
  <si>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</si>
  <si>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</si>
  <si>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</si>
  <si>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(224+225)</t>
  </si>
  <si>
    <t>223.</t>
  </si>
  <si>
    <t xml:space="preserve">    6.1. Támogatási program előlege</t>
  </si>
  <si>
    <t>224.</t>
  </si>
  <si>
    <t xml:space="preserve">    6.2. Szabálytalan kifizetés miatti követelés</t>
  </si>
  <si>
    <t>225.</t>
  </si>
  <si>
    <t>III. Értékpapírok (227+  +231)</t>
  </si>
  <si>
    <t>226.</t>
  </si>
  <si>
    <t>1. Kárpótlási jegyek</t>
  </si>
  <si>
    <t>227.</t>
  </si>
  <si>
    <t>2. Kincstárjegyek</t>
  </si>
  <si>
    <t>228.</t>
  </si>
  <si>
    <t>3. Kötvények</t>
  </si>
  <si>
    <t>229.</t>
  </si>
  <si>
    <t>4. Egyéb értékpapírok</t>
  </si>
  <si>
    <t>230.</t>
  </si>
  <si>
    <t>5. Egyéb részesedések</t>
  </si>
  <si>
    <t>231.</t>
  </si>
  <si>
    <t>IV. Pénzeszközök (233+240+249)</t>
  </si>
  <si>
    <t>232.</t>
  </si>
  <si>
    <t>5. oldal</t>
  </si>
  <si>
    <t>1. Pénztárak csekkek, betétkönyvek (234+237+238+239)</t>
  </si>
  <si>
    <t>233.</t>
  </si>
  <si>
    <t xml:space="preserve">    1.1. Pénztárak (235+236)</t>
  </si>
  <si>
    <t>234.</t>
  </si>
  <si>
    <t xml:space="preserve">       1.1.1. Forint pénztár</t>
  </si>
  <si>
    <t>235.</t>
  </si>
  <si>
    <t xml:space="preserve">       1.1.2. Valutapénztár</t>
  </si>
  <si>
    <t>236.</t>
  </si>
  <si>
    <t xml:space="preserve">    1.2. Költségvetési betétkönyvek</t>
  </si>
  <si>
    <t>237.</t>
  </si>
  <si>
    <t xml:space="preserve">    1.3. Elektronikus pénzeszközök</t>
  </si>
  <si>
    <t>238.</t>
  </si>
  <si>
    <t xml:space="preserve">    1.4. Csekkek</t>
  </si>
  <si>
    <t>239.</t>
  </si>
  <si>
    <t>2. Költségvetési bankszámlák (241+..+248)</t>
  </si>
  <si>
    <t>240.</t>
  </si>
  <si>
    <t xml:space="preserve">    1.1. Költségvetési elszámolási számla</t>
  </si>
  <si>
    <t>241.</t>
  </si>
  <si>
    <t xml:space="preserve">    1.2. Adóbeszedéssel kapcsolatos számlák</t>
  </si>
  <si>
    <t>242.</t>
  </si>
  <si>
    <t xml:space="preserve">    1.3. Költségvetési elszámolási számla</t>
  </si>
  <si>
    <t>243.</t>
  </si>
  <si>
    <t xml:space="preserve">    1.4. Lakásépítés és vásárlás munkáltatói támogatás számla</t>
  </si>
  <si>
    <t>244.</t>
  </si>
  <si>
    <t xml:space="preserve">    1.5. Részben önálló költségvetési szervek bankszámlái</t>
  </si>
  <si>
    <t>245.</t>
  </si>
  <si>
    <t xml:space="preserve">    1.6. Kihelyezett költségvetési elszámolási számla </t>
  </si>
  <si>
    <t>246.</t>
  </si>
  <si>
    <t xml:space="preserve">    1.7. Önkormányzati kincstári finanszírozási elszámolási számla</t>
  </si>
  <si>
    <t>247.</t>
  </si>
  <si>
    <t xml:space="preserve">    1.8. Deviza(betét) számla</t>
  </si>
  <si>
    <t>248.</t>
  </si>
  <si>
    <t>3. Idegen pénzeszközök (250+..+257)</t>
  </si>
  <si>
    <t>249.</t>
  </si>
  <si>
    <t xml:space="preserve">   3.1. Közműtársulati lebonyolítási számla</t>
  </si>
  <si>
    <t>250.</t>
  </si>
  <si>
    <t xml:space="preserve">   3.2. Társadalmi összefogással megvalósuló közműfejlesztési lebony. számla</t>
  </si>
  <si>
    <t>251.</t>
  </si>
  <si>
    <t xml:space="preserve">   3.3. Közműtársulati lebonyolítási számla</t>
  </si>
  <si>
    <t>252.</t>
  </si>
  <si>
    <t xml:space="preserve">   3.4. Értékesítendő lakások építési lebonyolítási számla</t>
  </si>
  <si>
    <t>253.</t>
  </si>
  <si>
    <t xml:space="preserve">   3.5. Értékesített lakások bevételének elszámolása</t>
  </si>
  <si>
    <t>254.</t>
  </si>
  <si>
    <t xml:space="preserve">   3.6. Előcsalakozási Alapokkal kapcsolatos lebonyolítási számla</t>
  </si>
  <si>
    <t>255.</t>
  </si>
  <si>
    <t xml:space="preserve">   3.7. Strukturális Alapok és Kohéziós Alap támogatási program lebony. számla</t>
  </si>
  <si>
    <t>256.</t>
  </si>
  <si>
    <t xml:space="preserve">   3.8. Egyéb idegen bevételi számla</t>
  </si>
  <si>
    <t>257.</t>
  </si>
  <si>
    <t>V.Egyéb aktív pénzügyi elszámolások</t>
  </si>
  <si>
    <t>258.</t>
  </si>
  <si>
    <t>B) FORGÓESZKÖZÖK ÖSSZESEN (178+201+226+232+258)</t>
  </si>
  <si>
    <t>259.</t>
  </si>
  <si>
    <t>ESZKÖZÖK ÖSSZESEN ( 177+259)</t>
  </si>
  <si>
    <t>260.</t>
  </si>
  <si>
    <t>FORRÁSOK</t>
  </si>
  <si>
    <t>állományi érték</t>
  </si>
  <si>
    <t>1. Induló tőke</t>
  </si>
  <si>
    <t>2. Tőkeváltozások</t>
  </si>
  <si>
    <t>3. Értékesítési tartalék</t>
  </si>
  <si>
    <t>D) SAJÁT TŐKE ÖSSZESEN (01+02+03)</t>
  </si>
  <si>
    <t>1. Következő évben felhasználható pénzmaradvány (06+07)</t>
  </si>
  <si>
    <t xml:space="preserve"> 1.1. Tárgyévi költségvetési tartalék (pénzmaradvány)</t>
  </si>
  <si>
    <t xml:space="preserve"> 1.2. Előző év(ek) költségvetési tartalékai (pénzmaradvány)</t>
  </si>
  <si>
    <t>2. Következő évben felhasználható vállalkozási eredmény (09+10)</t>
  </si>
  <si>
    <t xml:space="preserve"> 2.1. Tárgyévi vállakozási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</si>
  <si>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</si>
  <si>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</si>
  <si>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</si>
  <si>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</si>
  <si>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</si>
  <si>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</si>
  <si>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>4. Egyéb hosszúlejáratú kötelezettségek</t>
  </si>
  <si>
    <t>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</si>
  <si>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</si>
  <si>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</si>
  <si>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</si>
  <si>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rövidlejáratú kötelezettségek (22+23+24+25)</t>
  </si>
  <si>
    <t xml:space="preserve">      4.1. helyi adókból származó túlfizetés</t>
  </si>
  <si>
    <t xml:space="preserve">      4.2. felhalm.célú kötv.kibocs.-ból szárm.tartoz.köv.évi törlesztő részlete</t>
  </si>
  <si>
    <t xml:space="preserve">      4.3. beruházási, fejlesztési  hitelek köv. évet terhelő törlesztő részletei</t>
  </si>
  <si>
    <t xml:space="preserve">      4.4. egyéb</t>
  </si>
  <si>
    <t>III. Egyéb passzív pénzügyi elszámolások</t>
  </si>
  <si>
    <t>F) KÖTELEZETTSÉGEK ÖSSZESEN (12+17+26)</t>
  </si>
  <si>
    <t>FORRÁSOK ÖSSZESEN (04+11+27)</t>
  </si>
  <si>
    <t>1. melléklet</t>
  </si>
  <si>
    <t>A  Vásárosnaményi Önkormányzat 2010. évi  költségvetésének mérlege</t>
  </si>
  <si>
    <r>
      <t xml:space="preserve">  </t>
    </r>
    <r>
      <rPr>
        <sz val="11"/>
        <rFont val="Arial"/>
        <family val="2"/>
      </rPr>
      <t>E Ft-ban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</si>
  <si>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</si>
  <si>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</si>
  <si>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</si>
  <si>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</si>
  <si>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</si>
  <si>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</si>
  <si>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</si>
  <si>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</si>
  <si>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</si>
  <si>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</si>
  <si>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</si>
  <si>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</si>
  <si>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</si>
  <si>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</si>
  <si>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BEVÉTELEK MEGNEVEZÉSE</t>
  </si>
  <si>
    <t>2008. évi</t>
  </si>
  <si>
    <t>2009. évi</t>
  </si>
  <si>
    <t>2010. évi</t>
  </si>
  <si>
    <t>Módosított</t>
  </si>
  <si>
    <t>Teljesítés</t>
  </si>
  <si>
    <t>KIADÁSOK MEGNEVEZÉSE</t>
  </si>
  <si>
    <t>tény</t>
  </si>
  <si>
    <t>eredeti</t>
  </si>
  <si>
    <t>előirányzat</t>
  </si>
  <si>
    <t>%-a</t>
  </si>
  <si>
    <t>előirány-</t>
  </si>
  <si>
    <t>zat</t>
  </si>
  <si>
    <t>1.</t>
  </si>
  <si>
    <t>Működési bevételek</t>
  </si>
  <si>
    <t>Működési kiadások</t>
  </si>
  <si>
    <t>1.1.</t>
  </si>
  <si>
    <t>Intézményi működési bevételek</t>
  </si>
  <si>
    <t>Személyi juttatások</t>
  </si>
  <si>
    <t>1.2.</t>
  </si>
  <si>
    <t>Önkormányzatok sajátos működési bevételei</t>
  </si>
  <si>
    <t>Munkaadókat terhelő járulékok</t>
  </si>
  <si>
    <t>1.3.</t>
  </si>
  <si>
    <t>Önkormányzatok költségvetési támogatása</t>
  </si>
  <si>
    <t>Dologi kiadások</t>
  </si>
  <si>
    <t>1.4.</t>
  </si>
  <si>
    <t>Társadalombiztosítási alapoktól átvett</t>
  </si>
  <si>
    <t>Pénzeszköz átadás, egyéb támogatás</t>
  </si>
  <si>
    <t>pénzeszköz</t>
  </si>
  <si>
    <t>1.5.</t>
  </si>
  <si>
    <t>Ellátottak pénzbeni juttatásai</t>
  </si>
  <si>
    <t>Működési célra átvett pénzeszközök</t>
  </si>
  <si>
    <t>1.6.</t>
  </si>
  <si>
    <t>Működési célú céltartalék</t>
  </si>
  <si>
    <t>Forráskiegészítő hitel</t>
  </si>
  <si>
    <t>1.7.</t>
  </si>
  <si>
    <t>Finanszirozási kiadások</t>
  </si>
  <si>
    <t>Működési célú pénzmaradvány</t>
  </si>
  <si>
    <t>1.8.</t>
  </si>
  <si>
    <t>Működési célú kölcsönök nyújtása</t>
  </si>
  <si>
    <t>igénybevétele</t>
  </si>
  <si>
    <t>1.9.</t>
  </si>
  <si>
    <t>Általános tartalék</t>
  </si>
  <si>
    <t>Felhalmozási célú pénzmaradvány</t>
  </si>
  <si>
    <t>1.10.</t>
  </si>
  <si>
    <t>Előző évi pénzmaradvány átadása</t>
  </si>
  <si>
    <t>működési célú igénybevétele</t>
  </si>
  <si>
    <t>1.11.</t>
  </si>
  <si>
    <t>Továbbadási (lebonyolítási) célú kiadások</t>
  </si>
  <si>
    <t>Finanszirozási bevételek</t>
  </si>
  <si>
    <t>Kiegészítések, visszatérülések</t>
  </si>
  <si>
    <t>Működési célú kölcsönök visszatérülése</t>
  </si>
  <si>
    <t>1.12.</t>
  </si>
  <si>
    <t>Előző évi pénzmaradvány átvétele</t>
  </si>
  <si>
    <t>1.13.</t>
  </si>
  <si>
    <t>Továbbadási (lebonyolítási) célú bevételek</t>
  </si>
  <si>
    <t>2.</t>
  </si>
  <si>
    <t>Felhalmozási bevételek</t>
  </si>
  <si>
    <t>Felhalmozási kiadások</t>
  </si>
  <si>
    <t>2.1.</t>
  </si>
  <si>
    <t>Felhalmozási és tőke jellegű bevételek</t>
  </si>
  <si>
    <t>Felújítási kiadások</t>
  </si>
  <si>
    <t>2.2.</t>
  </si>
  <si>
    <t>Felhalmozási célra átvett pénzeszközök</t>
  </si>
  <si>
    <t>Beruházási kiadások</t>
  </si>
  <si>
    <t>2.3.</t>
  </si>
  <si>
    <t>Értékesített tárgyi eszközök áfája</t>
  </si>
  <si>
    <t>Felhalmozási célú pénzeszközátadás</t>
  </si>
  <si>
    <t>2.4.</t>
  </si>
  <si>
    <t>Felhalmozási célú áfa visszatérülése</t>
  </si>
  <si>
    <t>Felhalmozási célú hitel visszafizetése</t>
  </si>
  <si>
    <t>2.5.</t>
  </si>
  <si>
    <t>SZJA felhalmozási része</t>
  </si>
  <si>
    <t>Felhalmozási célú hitel kamat</t>
  </si>
  <si>
    <t>2.6.</t>
  </si>
  <si>
    <t>Építményadó 20 %-a</t>
  </si>
  <si>
    <t>Pénzügyi befektetések</t>
  </si>
  <si>
    <t>2.7.</t>
  </si>
  <si>
    <t>Önkormányzatok sajátos működési bevétele</t>
  </si>
  <si>
    <t>Felhalmozási célú céltartalék</t>
  </si>
  <si>
    <t>(felhalmozási rész)</t>
  </si>
  <si>
    <t>2.8.</t>
  </si>
  <si>
    <t>Értékesített tárgyi eszközök áfa befiz-e</t>
  </si>
  <si>
    <t>Önkormányzatok  költségvetési támogatása</t>
  </si>
  <si>
    <t>2.9.</t>
  </si>
  <si>
    <t>Beruházási kiadásokhoz kapcsolódó</t>
  </si>
  <si>
    <t>(fejlesztési)</t>
  </si>
  <si>
    <t>ÁFA befizetés</t>
  </si>
  <si>
    <t>2.10.</t>
  </si>
  <si>
    <t>Kötvény kibocsátás költsége</t>
  </si>
  <si>
    <t>Felhalmozási célú hitel felvétel</t>
  </si>
  <si>
    <t>2.11.</t>
  </si>
  <si>
    <t>Felhalmozási kölcsön nyújtása</t>
  </si>
  <si>
    <t>Belföldi értékpapírok bevételei (kötvény)</t>
  </si>
  <si>
    <t>2.12.</t>
  </si>
  <si>
    <t>Értékpapír (kötvény) kamatbevétele</t>
  </si>
  <si>
    <t>2.13.</t>
  </si>
  <si>
    <t>Felhalmozási célú kölcsönök visszatérülése</t>
  </si>
  <si>
    <t>2.14.</t>
  </si>
  <si>
    <t>Előző években képzett tartalékok maradványa</t>
  </si>
  <si>
    <t>3.</t>
  </si>
  <si>
    <t>Előző évi pénzkészlet igénybevétele</t>
  </si>
  <si>
    <t>Maradvány</t>
  </si>
  <si>
    <t>4.  BEVÉTELEK ÖSSZESEN</t>
  </si>
  <si>
    <t>4.  KIADÁSOK ÖSSZESEN</t>
  </si>
  <si>
    <t>2. melléklet</t>
  </si>
  <si>
    <t>A  Vásárosnaményi Önkormányzat sajátos bevételeinek</t>
  </si>
  <si>
    <t>2010. évi  előirányzata</t>
  </si>
  <si>
    <t xml:space="preserve">  E Ft-ban</t>
  </si>
  <si>
    <t>Megnevezés</t>
  </si>
  <si>
    <t>Eredeti</t>
  </si>
  <si>
    <t>Helyi adók</t>
  </si>
  <si>
    <t>1.1.1.</t>
  </si>
  <si>
    <t>Építményadó</t>
  </si>
  <si>
    <t>1.1.2.</t>
  </si>
  <si>
    <t>Iparűzési adó</t>
  </si>
  <si>
    <t>Pótlék, bírság</t>
  </si>
  <si>
    <t>Átengedett központi adók</t>
  </si>
  <si>
    <t>1.3.1.</t>
  </si>
  <si>
    <t>SZJA</t>
  </si>
  <si>
    <t>1.3.1.1.</t>
  </si>
  <si>
    <t>SZJA helyben maradó része</t>
  </si>
  <si>
    <t>1.3.1.2.</t>
  </si>
  <si>
    <t>A települési önkormányzatok jövedelem-</t>
  </si>
  <si>
    <t>differenciálódásának mérséklésére</t>
  </si>
  <si>
    <t xml:space="preserve">SZJA </t>
  </si>
  <si>
    <t>1.3.2.</t>
  </si>
  <si>
    <t>Gépjárműadó</t>
  </si>
  <si>
    <t>1.3.3.</t>
  </si>
  <si>
    <t>Termőföld bérbeadásától származó jövedelemadó</t>
  </si>
  <si>
    <t>Környezetvédelmi bírság</t>
  </si>
  <si>
    <t>Egyéb sajátos bevételek</t>
  </si>
  <si>
    <t>Talajterhelési díj</t>
  </si>
  <si>
    <t>Önkormányzatok sajátos felhalm.és tőkebevételei</t>
  </si>
  <si>
    <t>Önkormányati lakások értékesítése</t>
  </si>
  <si>
    <t>3.1.</t>
  </si>
  <si>
    <t>Normatív állami hozzájárulás</t>
  </si>
  <si>
    <t>3.2.</t>
  </si>
  <si>
    <t>Központosított előirányzatok</t>
  </si>
  <si>
    <t>3.2.1.</t>
  </si>
  <si>
    <t>Keresetkiegészítés</t>
  </si>
  <si>
    <t>3.2.2.</t>
  </si>
  <si>
    <t>Keresetkiegészítés OEP-től</t>
  </si>
  <si>
    <t>3.2.3.</t>
  </si>
  <si>
    <t>Nyári gyermekétkeztetés</t>
  </si>
  <si>
    <t>3.2.4.</t>
  </si>
  <si>
    <t>Könyvtári érdekeltségnövelő támogatás</t>
  </si>
  <si>
    <t>3.2.5.</t>
  </si>
  <si>
    <t>Közművelődési érdekeltségnövelő támogatás</t>
  </si>
  <si>
    <t>3.2.6.</t>
  </si>
  <si>
    <t>Érettségi vizsgák lebonyolításának támogatása</t>
  </si>
  <si>
    <t>3.2.7.</t>
  </si>
  <si>
    <t>Szakmai vizsgák lebonyolításának támogatása</t>
  </si>
  <si>
    <t>3.2.8.</t>
  </si>
  <si>
    <t>A bölcsődék és közoktatási intézmények</t>
  </si>
  <si>
    <t>infrastrukturális fejlesztése</t>
  </si>
  <si>
    <t>3.2.9.</t>
  </si>
  <si>
    <t>Óvodáztatási támogatás</t>
  </si>
  <si>
    <t>3.2.10.</t>
  </si>
  <si>
    <t>Egyes sajátos közokt. feladatok támogatása</t>
  </si>
  <si>
    <t>3.2.11.</t>
  </si>
  <si>
    <t>Pedagógiai szakszolg. szervezésének támog.</t>
  </si>
  <si>
    <t>3.2.12.</t>
  </si>
  <si>
    <t>Alapfokú művészetoktatás támogatása</t>
  </si>
  <si>
    <t>3.2.13.</t>
  </si>
  <si>
    <t>Informatikai fejlesztési feladatok támogatása</t>
  </si>
  <si>
    <t>3.2.14.</t>
  </si>
  <si>
    <t>Önkorm-ok és jogi személyiségű társulásaik</t>
  </si>
  <si>
    <t>EU-s fejl. pályázatai saját forrás kieg. támog-a</t>
  </si>
  <si>
    <t>3.2.15.</t>
  </si>
  <si>
    <t>A Hátrányos Helyzetű Tanulók Arany János</t>
  </si>
  <si>
    <t>Kollégiumi-Szakiskolai Programjának támogatása</t>
  </si>
  <si>
    <t>3.3.</t>
  </si>
  <si>
    <t>Normatív kötött célú felhasználások</t>
  </si>
  <si>
    <t>3.4.</t>
  </si>
  <si>
    <t>Működésképtelen önkorm-ok egyéb támogatása</t>
  </si>
  <si>
    <t>3.5.</t>
  </si>
  <si>
    <t>Helyi önkormányzatok fejl. feladatainak támog-a TEKI</t>
  </si>
  <si>
    <t>3.6.</t>
  </si>
  <si>
    <t>Vis maior tartalék</t>
  </si>
  <si>
    <t>3.7.</t>
  </si>
  <si>
    <t>A leghátrányosabb helyzetű kistérs. felz. tám. LEKI</t>
  </si>
  <si>
    <t>4. B E V É T E L E K  M I N D Ö S S Z E S E N</t>
  </si>
  <si>
    <t>3. melléklet</t>
  </si>
  <si>
    <t>A Vásárosnaményi Önkormányzat 2010. évi normatív állami hozzájárulása</t>
  </si>
  <si>
    <t>Sorsz.</t>
  </si>
  <si>
    <t>Költségvetési törvény 3. sz. melléklete szerinti jogcímek</t>
  </si>
  <si>
    <t>száma</t>
  </si>
  <si>
    <t>megnevezése</t>
  </si>
  <si>
    <t>NORMATÍV ÁLLAMI HOZZÁJÁRULÁS</t>
  </si>
  <si>
    <t>Települési önkormányzatok üzemeltetési, igazgatási, sport-</t>
  </si>
  <si>
    <t>és kulturális feladatai</t>
  </si>
  <si>
    <t>Körzeti igazgatás</t>
  </si>
  <si>
    <t>Körjegyzőjég működése</t>
  </si>
  <si>
    <t>4.</t>
  </si>
  <si>
    <t>5.</t>
  </si>
  <si>
    <t>Lakott külterülettel kapcsolatos feladatok</t>
  </si>
  <si>
    <t>A társadalmi-gazdasági és infrastrukturális szempontból elmara-</t>
  </si>
  <si>
    <t>7.</t>
  </si>
  <si>
    <t>dott, illetve súlyos foglalkoztatási gondokkal küzdő települési</t>
  </si>
  <si>
    <t>önkormányzatok feladatai</t>
  </si>
  <si>
    <t>6.</t>
  </si>
  <si>
    <t>10.</t>
  </si>
  <si>
    <t>Pénzbeli szociális juttatások</t>
  </si>
  <si>
    <t>11.</t>
  </si>
  <si>
    <t>Szociális és gyermekjóléti alapszolgáltatás feladatai</t>
  </si>
  <si>
    <t>8.</t>
  </si>
  <si>
    <t>12.</t>
  </si>
  <si>
    <t>Szociális és gyermekvédelmi bentlakásos és átmeneti elhelyezés</t>
  </si>
  <si>
    <t>9.</t>
  </si>
  <si>
    <t>13.</t>
  </si>
  <si>
    <t>Hajléktalanok átmeneti intézményei</t>
  </si>
  <si>
    <t xml:space="preserve">15. </t>
  </si>
  <si>
    <t>Közoktatási alap - hozzájárulás</t>
  </si>
  <si>
    <t>16.</t>
  </si>
  <si>
    <t>Közoktatási kiegészítő hozzájárulások</t>
  </si>
  <si>
    <t xml:space="preserve">17. </t>
  </si>
  <si>
    <t>Szociális juttatások, egyéb szolgáltatások</t>
  </si>
  <si>
    <t>M i n d ö s s z e s e n:</t>
  </si>
  <si>
    <t>4. melléklet</t>
  </si>
  <si>
    <t>A Vásárosnaményi Önkormányzat 2010. évi normatív, kötött felhasználású támogatása</t>
  </si>
  <si>
    <t>Költségvetési törvény 8. sz. melléklete szerinti jogcímek</t>
  </si>
  <si>
    <t>8.m.I.</t>
  </si>
  <si>
    <t>Kiegészítő támogatás egyes közoktatási feladatokhoz</t>
  </si>
  <si>
    <t>8.m.I.1.</t>
  </si>
  <si>
    <t>Pedagógiai szakszolgálat</t>
  </si>
  <si>
    <t>8.m.II.</t>
  </si>
  <si>
    <t>Egyes szociális feladatok támogatása</t>
  </si>
  <si>
    <t>8.m.II.1.</t>
  </si>
  <si>
    <t>Egyes jövedelempótló ellátások</t>
  </si>
  <si>
    <t>2.1.1.</t>
  </si>
  <si>
    <t xml:space="preserve">    Az önkormányzat által szervezett közcélú fogl. támogatása</t>
  </si>
  <si>
    <t>8.m.II.2.</t>
  </si>
  <si>
    <t>Szociális továbbképzés és szakvizsga</t>
  </si>
  <si>
    <t>8.m.IV.</t>
  </si>
  <si>
    <t>A helyi önkormányzati hivatásos tűzoltóságok támogatása</t>
  </si>
  <si>
    <t>5. melléklet</t>
  </si>
  <si>
    <t xml:space="preserve">A Vásárosnaményi Önkormányzat 2010. évi </t>
  </si>
  <si>
    <t>felhalmozási kiadási előirányzata feladatonként</t>
  </si>
  <si>
    <t xml:space="preserve">  </t>
  </si>
  <si>
    <t>Intézményi felújítások:</t>
  </si>
  <si>
    <t>Intézményi beruházások:</t>
  </si>
  <si>
    <t>Művelődési Központ, Balázs József Városi Könyvtár</t>
  </si>
  <si>
    <t>II. Rákóczi Ferenc Gimnázium</t>
  </si>
  <si>
    <t>Lónyay Menyhért Szakközép Iskola</t>
  </si>
  <si>
    <t>Babus Jolán Kollégium</t>
  </si>
  <si>
    <t>Alsófok</t>
  </si>
  <si>
    <t>Intézményi beruházások összesen (áfával):</t>
  </si>
  <si>
    <t>Polgármesteri Hivatal felújításai:</t>
  </si>
  <si>
    <t xml:space="preserve">TEKI támogatás a V.namény-Vitka Tündérkert Óvoda </t>
  </si>
  <si>
    <t>komplex felújításához</t>
  </si>
  <si>
    <t>Aranyablak Óvoda felújítása</t>
  </si>
  <si>
    <t>Polgármesteri Hivatal felújításai összesen (áfával):</t>
  </si>
  <si>
    <t>Polgármesteri Hivatal beruházásai:</t>
  </si>
  <si>
    <t>4.1.</t>
  </si>
  <si>
    <t>Vásárosnamény-Gergelyiugornya</t>
  </si>
  <si>
    <t>közötti kerékpárút építése</t>
  </si>
  <si>
    <t>4.2.</t>
  </si>
  <si>
    <t>Vásárosnamény-Vitka hivatásforgalmú</t>
  </si>
  <si>
    <t>kerékpárút építése</t>
  </si>
  <si>
    <t>4.3.</t>
  </si>
  <si>
    <t>"Vásárosnamény és Beregszász közlekedési</t>
  </si>
  <si>
    <r>
      <t xml:space="preserve">infrastruktúrájának fejlesztése" </t>
    </r>
    <r>
      <rPr>
        <sz val="11"/>
        <rFont val="Arial"/>
        <family val="2"/>
      </rPr>
      <t>projekt</t>
    </r>
  </si>
  <si>
    <t>4.4.</t>
  </si>
  <si>
    <t>"Fürdő" utca építése I. üteméhez un. LEKI támogatás</t>
  </si>
  <si>
    <t>4.5.</t>
  </si>
  <si>
    <t xml:space="preserve">ÉAOP-2009. - 5.1.1. G Vásárosnamény Centrum </t>
  </si>
  <si>
    <t>Akcióterület fejlesztése projekt</t>
  </si>
  <si>
    <t>4.6.</t>
  </si>
  <si>
    <t>Aranyablak Óvoda előtti parkoló építése</t>
  </si>
  <si>
    <t>4.7.</t>
  </si>
  <si>
    <t>Ügyviteli, számítástechnikai eszközök vásárlása</t>
  </si>
  <si>
    <t>4.8.</t>
  </si>
  <si>
    <t>Városrendezési terv készítése</t>
  </si>
  <si>
    <t>4.9.</t>
  </si>
  <si>
    <t>Építőipari költségvetéskészítő program kiegészítése</t>
  </si>
  <si>
    <t>4.10.</t>
  </si>
  <si>
    <t>Játszótéri játékok beszerzése</t>
  </si>
  <si>
    <t>4.11.</t>
  </si>
  <si>
    <t>Buszváró Damjanich út</t>
  </si>
  <si>
    <t>4.12.</t>
  </si>
  <si>
    <t>Buszváró Pöltemberg út</t>
  </si>
  <si>
    <t>Polgármesteri Hivatal beruházásai összesen (áfával):</t>
  </si>
  <si>
    <t>Felhalmozási célú pénzeszköz átadás:</t>
  </si>
  <si>
    <t>5.1.</t>
  </si>
  <si>
    <t>Első lakáshozjutók támogatása</t>
  </si>
  <si>
    <t>5.2.</t>
  </si>
  <si>
    <t>VITKA Kft. hitel kamata I. negyedévi</t>
  </si>
  <si>
    <t>5.3.</t>
  </si>
  <si>
    <t>VITKA Kft. hitel tőke törlesztés</t>
  </si>
  <si>
    <t>5.4.</t>
  </si>
  <si>
    <t>VITKA Kft. részére pénzeszköz átadás</t>
  </si>
  <si>
    <t>a Szilva Fürdő parkolójának szilárd burkolattal</t>
  </si>
  <si>
    <t>való lefedésére</t>
  </si>
  <si>
    <t>5.5.</t>
  </si>
  <si>
    <t>Híd kötvény kamata</t>
  </si>
  <si>
    <t>5.6.</t>
  </si>
  <si>
    <t>Esze Tamás Művelődési Központ</t>
  </si>
  <si>
    <t>érdekeltségnövelő támogatás</t>
  </si>
  <si>
    <t>5.7.</t>
  </si>
  <si>
    <t>Otthonteremtési támogatás</t>
  </si>
  <si>
    <t>5.8.</t>
  </si>
  <si>
    <t>Vásárosnaményi Görög Katolikus Egyházközség</t>
  </si>
  <si>
    <t>támogatása</t>
  </si>
  <si>
    <t>5.9.</t>
  </si>
  <si>
    <t>TIOP programmal kapcsolatos kiadás</t>
  </si>
  <si>
    <t>5.10.</t>
  </si>
  <si>
    <t>Szakképzési hozzájárulás visszafizetése</t>
  </si>
  <si>
    <t>Felhalmozási célú pénzeszköz átadás összesen:</t>
  </si>
  <si>
    <t>Felhalmozási célú céltartalék:</t>
  </si>
  <si>
    <t>6.1.</t>
  </si>
  <si>
    <t>Beregi Ivóvízminőség-javító Program saját erejére</t>
  </si>
  <si>
    <t>6.2.</t>
  </si>
  <si>
    <t>„Vásárosnamény Centrum Akcióterület fejlesztése”</t>
  </si>
  <si>
    <t>6.3.</t>
  </si>
  <si>
    <t>Vásárosnamény északi iparterületeit megközelítő új út</t>
  </si>
  <si>
    <t>kisajátításával kapcsolatosan felmerülő szakértői díj</t>
  </si>
  <si>
    <t>6.4.</t>
  </si>
  <si>
    <t>Lakásalap</t>
  </si>
  <si>
    <t>Felhalmozási célú céltartalék összesen:</t>
  </si>
  <si>
    <t>Felhalmozási célú hitel visszafizetés (XXI. sz. Iskola):</t>
  </si>
  <si>
    <t>Felhalmozási célú hitel kamat:</t>
  </si>
  <si>
    <t>8.1.</t>
  </si>
  <si>
    <t>XXI. sz-i Iskola</t>
  </si>
  <si>
    <t>8.2.</t>
  </si>
  <si>
    <t>Kötvény kamata</t>
  </si>
  <si>
    <t>Felhalmozási célú hitel kamat összesen:</t>
  </si>
  <si>
    <t>Felhalmozási célú kölcsön nyújtása (tagi kölcsön)</t>
  </si>
  <si>
    <t>Mindösszesen:</t>
  </si>
  <si>
    <t>6. melléklet</t>
  </si>
  <si>
    <t>A Vásárosnaményi Önkormányzat 2010. évi szociális kiadási előirányzata</t>
  </si>
  <si>
    <t>E Ft-ban</t>
  </si>
  <si>
    <t>Rendszeres szociális segély az Szt. 37/B. § (1) bek. b-c) szerint</t>
  </si>
  <si>
    <t>Rendszeres szociális segély az Szt. 37/B. § (1) bek. d) szerint</t>
  </si>
  <si>
    <t>Rendszeres szociális segély egészségkárosodott szem. részére</t>
  </si>
  <si>
    <t>Önkorm.által folyósított ellátás kereső tevékenység mellett</t>
  </si>
  <si>
    <t>Rendelkezésre állási támogatás</t>
  </si>
  <si>
    <t>Közcélú munka</t>
  </si>
  <si>
    <t>Időskorúak járadéka</t>
  </si>
  <si>
    <t>Lakásfenntartási támogatás (normatív)</t>
  </si>
  <si>
    <t>Adósságkezelési szolg.részes.kif. lakásfenntartási támogatás</t>
  </si>
  <si>
    <t>Lakásfenntartási támogatás (helyi megállapítás)</t>
  </si>
  <si>
    <t>Adósságcsökkentési támogatás</t>
  </si>
  <si>
    <t>Ápolási díj (normatív)</t>
  </si>
  <si>
    <t>Ápolási díj (helyi megállapítás)</t>
  </si>
  <si>
    <t>14.</t>
  </si>
  <si>
    <t>Átmeneti segély</t>
  </si>
  <si>
    <t>15.</t>
  </si>
  <si>
    <t>Temetési segély</t>
  </si>
  <si>
    <t xml:space="preserve">Rendszeres gyermekvédelmi kedvezményben részesül. </t>
  </si>
  <si>
    <t>17.</t>
  </si>
  <si>
    <t>Kiegészítő gyermekvédelmi támogatás és pótléka</t>
  </si>
  <si>
    <t>18.</t>
  </si>
  <si>
    <t>19.</t>
  </si>
  <si>
    <t>Rendkívüli gyermekvédelmi támogatás (helyi megállapítás)</t>
  </si>
  <si>
    <t>20.</t>
  </si>
  <si>
    <t>Egyéb az önkormányzat rendeletében megállapított juttatás</t>
  </si>
  <si>
    <t>21.</t>
  </si>
  <si>
    <t>Rászorultságtól függ. pénz. szoc. gyerm.véd. ell. össz. (01+..+20)</t>
  </si>
  <si>
    <t>22.</t>
  </si>
  <si>
    <t>Természetben nyújtott lakásfenntartási támogatás</t>
  </si>
  <si>
    <t>23.</t>
  </si>
  <si>
    <t>Természetben nyújtott rendszeres szociális segély</t>
  </si>
  <si>
    <t>24.</t>
  </si>
  <si>
    <t>Adósságkez.sz.ker. gáz-v.áram fogy.mérő készülék biztosítása</t>
  </si>
  <si>
    <t>25.</t>
  </si>
  <si>
    <t>26.</t>
  </si>
  <si>
    <t>27.</t>
  </si>
  <si>
    <t>Köztemetés</t>
  </si>
  <si>
    <t>28.</t>
  </si>
  <si>
    <t>Közgyógyellátás</t>
  </si>
  <si>
    <t>29.</t>
  </si>
  <si>
    <t>Rászorultságtól függő normatív kedvezmények</t>
  </si>
  <si>
    <t>30.</t>
  </si>
  <si>
    <t>Étkeztetés</t>
  </si>
  <si>
    <t>31.</t>
  </si>
  <si>
    <t>Házisegítség nyújtás</t>
  </si>
  <si>
    <t>32.</t>
  </si>
  <si>
    <t>Rendkívüli gyermekvédelmi támogatás</t>
  </si>
  <si>
    <t>33.</t>
  </si>
  <si>
    <t>Természetben nyújtott óvodáztatási támogatás</t>
  </si>
  <si>
    <t>34.</t>
  </si>
  <si>
    <t>Természetben nyújtott szociális ellátások összesen (22+…+33)</t>
  </si>
  <si>
    <t>35.</t>
  </si>
  <si>
    <t>Önk. által foly. szoc., gyermekvédelmi ellátások össz. (21+34)</t>
  </si>
  <si>
    <t>36.</t>
  </si>
  <si>
    <t>Önk. által saját hatáskörben adott pénzügyi ellátás</t>
  </si>
  <si>
    <t>37.</t>
  </si>
  <si>
    <t>Önk. által saját hatáskörben adott természetbeni ellátás</t>
  </si>
  <si>
    <t>38. Ökormányzat által folyósított ellátások összesen (35+36+37)</t>
  </si>
  <si>
    <t>7. melléklet</t>
  </si>
  <si>
    <t>A Vásárosnaményi Önkormányzat</t>
  </si>
  <si>
    <t>2010. évi társadalmi szervek támogatási kiadási előirányzata</t>
  </si>
  <si>
    <t>Sport Egyesületek támogatása</t>
  </si>
  <si>
    <t>Vásárosnamény II. SE</t>
  </si>
  <si>
    <t>Vásárosnamény III. SE</t>
  </si>
  <si>
    <t>Szabadidő Sport Egyesület</t>
  </si>
  <si>
    <t>Diáksport Egyesület</t>
  </si>
  <si>
    <t>Beregi Rally Cross Egyesület</t>
  </si>
  <si>
    <t>Polgárőrség működésére</t>
  </si>
  <si>
    <t>Vásárosnaményi Önkéntes Tűzoltó Egyesület</t>
  </si>
  <si>
    <t>II. Rákóczi F. Gimnázium Természetbarát Diákköre</t>
  </si>
  <si>
    <t>Tiszamenti SE vissza nem térítendő támogatása</t>
  </si>
  <si>
    <t>Vitkai Református Egyház 2009. évi támogatás</t>
  </si>
  <si>
    <t>visszafizetése</t>
  </si>
  <si>
    <t>Vásárosnaményi Görögkatolikus Egyházközség</t>
  </si>
  <si>
    <t>8. M i n d ö s s z e s e n:</t>
  </si>
  <si>
    <t>8. melléklet</t>
  </si>
  <si>
    <t>2010. évi működési célú pénzeszköz átadásainak kiadási előirányzata</t>
  </si>
  <si>
    <t>VITKA Nonprofit Kft.</t>
  </si>
  <si>
    <t>BERGEGVÍZ Kft.</t>
  </si>
  <si>
    <t>Dr. J és Dr. J Bt.</t>
  </si>
  <si>
    <t>Oktatási, Kulturális- és</t>
  </si>
  <si>
    <t>Sport Bizottság támogatási kerete</t>
  </si>
  <si>
    <t>Gyermeknap megrendezése</t>
  </si>
  <si>
    <t>Sz-Sz-B Megyei TISZK pályázat saját erő</t>
  </si>
  <si>
    <t>BEREGTÖT szúnyogírtás</t>
  </si>
  <si>
    <t>BEREGTÖT központi ügyeleti díj, közcélú prg.</t>
  </si>
  <si>
    <t>Borsodi árvízkárosultak támogatás</t>
  </si>
  <si>
    <t>Árvízkárosult gyermekek táboroztatása</t>
  </si>
  <si>
    <t>Magyar Vöröskereszt támogatása</t>
  </si>
  <si>
    <t>Vörösiszap katasztrófa károsultjainak tám.-a</t>
  </si>
  <si>
    <t>13.  M i n d ö s s z e s e n:</t>
  </si>
  <si>
    <t xml:space="preserve"> </t>
  </si>
  <si>
    <t>9. melléklet</t>
  </si>
  <si>
    <t>A Vásárosnaményi  Önkormányzat költségvetési szervei 2010. évi költségvetési előirányzata</t>
  </si>
  <si>
    <t>Bevételek</t>
  </si>
  <si>
    <t>B e v é t e l e k b ő l</t>
  </si>
  <si>
    <t>Kiadások</t>
  </si>
  <si>
    <t>K i a d á s o k b ó l</t>
  </si>
  <si>
    <t>összesen</t>
  </si>
  <si>
    <t>Működési</t>
  </si>
  <si>
    <t>Felhalmo-</t>
  </si>
  <si>
    <t>bevételek</t>
  </si>
  <si>
    <t xml:space="preserve">zási </t>
  </si>
  <si>
    <t>kiadások</t>
  </si>
  <si>
    <t>zási</t>
  </si>
  <si>
    <t>1.1. Játékország Óvodái</t>
  </si>
  <si>
    <t>1.1.3.</t>
  </si>
  <si>
    <t>1.1.4.</t>
  </si>
  <si>
    <t>Teljesítés %-a</t>
  </si>
  <si>
    <t>1.2. Eötvös József Ált.Iskola</t>
  </si>
  <si>
    <t>1.2.1.</t>
  </si>
  <si>
    <t>1.2.2.</t>
  </si>
  <si>
    <t>1.2.3.</t>
  </si>
  <si>
    <t>1.2.4.</t>
  </si>
  <si>
    <t>1.3. Petőfi Sándor ÁMK</t>
  </si>
  <si>
    <t>1.3.4.</t>
  </si>
  <si>
    <t>1.4. Kölcsey Ferenc ÁMK</t>
  </si>
  <si>
    <t>1.4.1.</t>
  </si>
  <si>
    <t>1.4.2.</t>
  </si>
  <si>
    <t>1.4.3.</t>
  </si>
  <si>
    <t>1.4.4.</t>
  </si>
  <si>
    <t>1.5. Városi Zeneiskola</t>
  </si>
  <si>
    <t>1.5.1.</t>
  </si>
  <si>
    <t>1.5.2.</t>
  </si>
  <si>
    <t>1.5.3.</t>
  </si>
  <si>
    <t>1.5.4.</t>
  </si>
  <si>
    <t>1.6. Nevelési Tanácsadó</t>
  </si>
  <si>
    <t>1.6.1.</t>
  </si>
  <si>
    <t>1.6.2.</t>
  </si>
  <si>
    <t>1.6.3.</t>
  </si>
  <si>
    <t>1.6.4.</t>
  </si>
  <si>
    <t>1. Alsófoku oktatás össz.:</t>
  </si>
  <si>
    <t>2.1. Esze Tamás Műv. Központ</t>
  </si>
  <si>
    <t>2.1.2.</t>
  </si>
  <si>
    <t>2.1.3.</t>
  </si>
  <si>
    <t>2.1.4.</t>
  </si>
  <si>
    <t>2.2. Balázs József Városi Könyvtár</t>
  </si>
  <si>
    <t>2.2.1.</t>
  </si>
  <si>
    <t>2.2.2.</t>
  </si>
  <si>
    <t>2.2.3.</t>
  </si>
  <si>
    <t>2.2.4.</t>
  </si>
  <si>
    <t>2. Művelődési Központ összesen:</t>
  </si>
  <si>
    <t>2. oldal</t>
  </si>
  <si>
    <t>3.1. II. Rákóczi Ferenc Gimnázium</t>
  </si>
  <si>
    <t>3.1.1.</t>
  </si>
  <si>
    <t>3.1.2.</t>
  </si>
  <si>
    <t>3.1.3.</t>
  </si>
  <si>
    <t>3.1.4.</t>
  </si>
  <si>
    <t>3.2. Lónyay Menyhért Szakközép Iskola</t>
  </si>
  <si>
    <t>3.3. Babus Jolán Középiskolai Kollégium</t>
  </si>
  <si>
    <t>3.3.1.</t>
  </si>
  <si>
    <t>3.3.2.</t>
  </si>
  <si>
    <t>3.3.3.</t>
  </si>
  <si>
    <t>3.3.4.</t>
  </si>
  <si>
    <t>3. Középfok összesen:</t>
  </si>
  <si>
    <t>4.1. Polgármesteri Hivatal</t>
  </si>
  <si>
    <t>4.1.1.</t>
  </si>
  <si>
    <t>4.1.2.</t>
  </si>
  <si>
    <t>4.1.3.</t>
  </si>
  <si>
    <t>4.1.4.</t>
  </si>
  <si>
    <t>4.2. Humán Szolgáltató Központ</t>
  </si>
  <si>
    <t>4.2.1.</t>
  </si>
  <si>
    <t>4.2.2.</t>
  </si>
  <si>
    <t>4.2.3.</t>
  </si>
  <si>
    <t>4.2.4.</t>
  </si>
  <si>
    <t>4.3. Városi Tűzoltóság</t>
  </si>
  <si>
    <t>4.3.1.</t>
  </si>
  <si>
    <t>4.3.2.</t>
  </si>
  <si>
    <t>4.3.3.</t>
  </si>
  <si>
    <t>4.3.4.</t>
  </si>
  <si>
    <t>4. Polgármesteri Hivatal összesen:</t>
  </si>
  <si>
    <t>5. M i n d ö s s z e s e n:</t>
  </si>
  <si>
    <t>10. melléklet</t>
  </si>
  <si>
    <t>A Vásárosnamény Önkormányzat költségvetési szervei 2010. évi működési költségvetési előirányzata</t>
  </si>
  <si>
    <t>O</t>
  </si>
  <si>
    <t>P</t>
  </si>
  <si>
    <t>Q</t>
  </si>
  <si>
    <t>R</t>
  </si>
  <si>
    <t>S</t>
  </si>
  <si>
    <t>SZ</t>
  </si>
  <si>
    <t>T</t>
  </si>
  <si>
    <t>V</t>
  </si>
  <si>
    <t>W</t>
  </si>
  <si>
    <t>X</t>
  </si>
  <si>
    <t>Y</t>
  </si>
  <si>
    <t>Z</t>
  </si>
  <si>
    <t xml:space="preserve"> Megnevezés</t>
  </si>
  <si>
    <t xml:space="preserve"> B e v é t e l e k b ő l</t>
  </si>
  <si>
    <t xml:space="preserve"> K i a d á s o k b ó l</t>
  </si>
  <si>
    <t>Intézmé-</t>
  </si>
  <si>
    <t>Önkor-</t>
  </si>
  <si>
    <t>Felügye-</t>
  </si>
  <si>
    <t>Tb. Ala-</t>
  </si>
  <si>
    <t>Működé-</t>
  </si>
  <si>
    <t>Előző évi</t>
  </si>
  <si>
    <t>Forrás-</t>
  </si>
  <si>
    <t>Függő,</t>
  </si>
  <si>
    <t>Továbbadási</t>
  </si>
  <si>
    <t>Kiegészí-</t>
  </si>
  <si>
    <t>Szemé-</t>
  </si>
  <si>
    <t>Munka-</t>
  </si>
  <si>
    <t>Dologi</t>
  </si>
  <si>
    <t>Pénz-</t>
  </si>
  <si>
    <t>Ellátot-</t>
  </si>
  <si>
    <t>Céltar-</t>
  </si>
  <si>
    <t>Általános</t>
  </si>
  <si>
    <t>nyi műkö-</t>
  </si>
  <si>
    <t>mányza-</t>
  </si>
  <si>
    <t>leti</t>
  </si>
  <si>
    <t>poktól</t>
  </si>
  <si>
    <t>si célra</t>
  </si>
  <si>
    <t>pénzma-</t>
  </si>
  <si>
    <t>kigészí-</t>
  </si>
  <si>
    <t xml:space="preserve">átfutó, </t>
  </si>
  <si>
    <t>lebonyolítási</t>
  </si>
  <si>
    <t>tések,</t>
  </si>
  <si>
    <t>lyi jut-</t>
  </si>
  <si>
    <t>adókat</t>
  </si>
  <si>
    <t>eszköz</t>
  </si>
  <si>
    <t>tak</t>
  </si>
  <si>
    <t>talék</t>
  </si>
  <si>
    <t>tartalék</t>
  </si>
  <si>
    <t>átfutó</t>
  </si>
  <si>
    <t>célú</t>
  </si>
  <si>
    <t>dési</t>
  </si>
  <si>
    <t>tok sajá-</t>
  </si>
  <si>
    <t>szerv-</t>
  </si>
  <si>
    <t>tok költ-</t>
  </si>
  <si>
    <t>átvett</t>
  </si>
  <si>
    <t>radvány</t>
  </si>
  <si>
    <t>tő hitel</t>
  </si>
  <si>
    <t>kiegyenlí-</t>
  </si>
  <si>
    <t>visszaté-</t>
  </si>
  <si>
    <t>tatások</t>
  </si>
  <si>
    <t>terhelő</t>
  </si>
  <si>
    <t>átadás,</t>
  </si>
  <si>
    <t>pénzbeli</t>
  </si>
  <si>
    <t>kölcsö-</t>
  </si>
  <si>
    <t>tos mű-</t>
  </si>
  <si>
    <t>től ka-</t>
  </si>
  <si>
    <t>ségveté-</t>
  </si>
  <si>
    <t>pénzesz-</t>
  </si>
  <si>
    <t>átvétele</t>
  </si>
  <si>
    <t>igénybe-</t>
  </si>
  <si>
    <t>tő bevétel</t>
  </si>
  <si>
    <t>rülések</t>
  </si>
  <si>
    <t>járulékok</t>
  </si>
  <si>
    <t>egyéb tá-</t>
  </si>
  <si>
    <t>átadása</t>
  </si>
  <si>
    <t>juttatá-</t>
  </si>
  <si>
    <t>tő kiadás</t>
  </si>
  <si>
    <t>nök</t>
  </si>
  <si>
    <t>ködési</t>
  </si>
  <si>
    <t>pott tá-</t>
  </si>
  <si>
    <t>si támo-</t>
  </si>
  <si>
    <t>közök</t>
  </si>
  <si>
    <t>vétele</t>
  </si>
  <si>
    <t>mogatás</t>
  </si>
  <si>
    <t>sai</t>
  </si>
  <si>
    <t>nyújtása</t>
  </si>
  <si>
    <t>bevételei</t>
  </si>
  <si>
    <t>gatása</t>
  </si>
  <si>
    <t>(működési)</t>
  </si>
  <si>
    <t>1.2. Eötvös József Általános Iskola</t>
  </si>
  <si>
    <t>1. Alsófoku oktatás összesen:</t>
  </si>
  <si>
    <t>11. melléklet</t>
  </si>
  <si>
    <t>A Vásárosnaményi Önkormányzat költségvetési szervei 2010. évi felhalmozási költségvetési előirányzatai</t>
  </si>
  <si>
    <t>Felhal-</t>
  </si>
  <si>
    <t>Értéke-</t>
  </si>
  <si>
    <t>Sajátos</t>
  </si>
  <si>
    <t>Előző évek-</t>
  </si>
  <si>
    <t>Felújitás</t>
  </si>
  <si>
    <t>Beruhá-</t>
  </si>
  <si>
    <t>Pénzügyi</t>
  </si>
  <si>
    <t>mozási</t>
  </si>
  <si>
    <t>leti szerv-</t>
  </si>
  <si>
    <t>sített</t>
  </si>
  <si>
    <t>zási célú</t>
  </si>
  <si>
    <t>működé-</t>
  </si>
  <si>
    <t>ben képzett</t>
  </si>
  <si>
    <t>(áfával)</t>
  </si>
  <si>
    <t>befekte-</t>
  </si>
  <si>
    <t xml:space="preserve">és tőke </t>
  </si>
  <si>
    <t>célra</t>
  </si>
  <si>
    <t xml:space="preserve">tárgyi </t>
  </si>
  <si>
    <t>áfa</t>
  </si>
  <si>
    <t>si bev.</t>
  </si>
  <si>
    <t>tartalékok</t>
  </si>
  <si>
    <t>hitel</t>
  </si>
  <si>
    <t xml:space="preserve">hitel </t>
  </si>
  <si>
    <t>tések</t>
  </si>
  <si>
    <t>kölcsön</t>
  </si>
  <si>
    <t>jellegű</t>
  </si>
  <si>
    <t>eszközök</t>
  </si>
  <si>
    <t xml:space="preserve"> visszaté-</t>
  </si>
  <si>
    <t>(felhal-</t>
  </si>
  <si>
    <t>maradvá-</t>
  </si>
  <si>
    <t>felvétel</t>
  </si>
  <si>
    <t>közátadás</t>
  </si>
  <si>
    <t>visszafize-</t>
  </si>
  <si>
    <t>kamat</t>
  </si>
  <si>
    <t>céltartalék</t>
  </si>
  <si>
    <t>bevéte-</t>
  </si>
  <si>
    <t>áfája</t>
  </si>
  <si>
    <t xml:space="preserve"> rülése</t>
  </si>
  <si>
    <t>nya</t>
  </si>
  <si>
    <t>tés</t>
  </si>
  <si>
    <t>lek</t>
  </si>
  <si>
    <t>célra)</t>
  </si>
  <si>
    <t>1. Alsófokú oktatás összesen:</t>
  </si>
  <si>
    <t>2.1. II. Rákóczi Ferenc Gimnázium</t>
  </si>
  <si>
    <t>2.2. Lónyay Menyhért Szakközép Iskola</t>
  </si>
  <si>
    <t>2.3. Babus Jolán Középiskolai Kollégium</t>
  </si>
  <si>
    <t>2.3.1.</t>
  </si>
  <si>
    <t>2.3.2.</t>
  </si>
  <si>
    <t>2.3.3.</t>
  </si>
  <si>
    <t>2.3.4.</t>
  </si>
  <si>
    <t>2. Középfok összesen:</t>
  </si>
  <si>
    <t>3.1. Esze Tamás Művelődési Központ</t>
  </si>
  <si>
    <t>3.2. Balázs József Városi Könyvtár</t>
  </si>
  <si>
    <t>3. Művelődési Központ összesen:</t>
  </si>
  <si>
    <t>4.2. Városi Tűzoltóság</t>
  </si>
  <si>
    <t>5. Mindösszesen:</t>
  </si>
  <si>
    <t>12. melléklet</t>
  </si>
  <si>
    <t xml:space="preserve">Vásárosnamény Város Polgármesteri Hivatala 2010. évi működési költségvetése feladatonként </t>
  </si>
  <si>
    <t>Szak-</t>
  </si>
  <si>
    <t>feladat</t>
  </si>
  <si>
    <t>Céltarta-</t>
  </si>
  <si>
    <t xml:space="preserve">Működési </t>
  </si>
  <si>
    <t>lék</t>
  </si>
  <si>
    <t>(működ.)</t>
  </si>
  <si>
    <t>841114-1</t>
  </si>
  <si>
    <t>Országgyűlési képviselőválasztásokhoz kapcs. tev-ek</t>
  </si>
  <si>
    <t>841115-1</t>
  </si>
  <si>
    <t>Önkormányzati képviselőválasztásokhoz kapcs. tev-ek</t>
  </si>
  <si>
    <t>841116-1</t>
  </si>
  <si>
    <t>Országos, települési és területi kisebbségi</t>
  </si>
  <si>
    <t>választásokhoz kapcsolódó tevékenység</t>
  </si>
  <si>
    <t>841124-1</t>
  </si>
  <si>
    <t>Területi általános végrehajtó tevékenység</t>
  </si>
  <si>
    <t>841126-1</t>
  </si>
  <si>
    <t>Önkormányzatok igazgatási tevékenysége</t>
  </si>
  <si>
    <t>841127-1</t>
  </si>
  <si>
    <t>Települési kisebbségi önk-ok igazgatási tevékenysége</t>
  </si>
  <si>
    <t>841402-1</t>
  </si>
  <si>
    <t>Közvilágítás</t>
  </si>
  <si>
    <t>7.1.</t>
  </si>
  <si>
    <t>7.2.</t>
  </si>
  <si>
    <t>7.3.</t>
  </si>
  <si>
    <t>7.4.</t>
  </si>
  <si>
    <t>841403-1</t>
  </si>
  <si>
    <t>Város-, és községgazdálkodási m.n.s. szolgáltatások</t>
  </si>
  <si>
    <t>8.3.</t>
  </si>
  <si>
    <t>8.4.</t>
  </si>
  <si>
    <t>841901-1</t>
  </si>
  <si>
    <t>Önkormányzatok elszámolásai</t>
  </si>
  <si>
    <t>9.1.</t>
  </si>
  <si>
    <t>9.2.</t>
  </si>
  <si>
    <t>9.3.</t>
  </si>
  <si>
    <t>9.4.</t>
  </si>
  <si>
    <t>841906-1</t>
  </si>
  <si>
    <t>Finanszírozási műveletek</t>
  </si>
  <si>
    <t>10.1.</t>
  </si>
  <si>
    <t>10.2.</t>
  </si>
  <si>
    <t>10.3.</t>
  </si>
  <si>
    <t>10.4.</t>
  </si>
  <si>
    <t>841907-1</t>
  </si>
  <si>
    <t>Önkormányzatok elszámolásai költségvetési szervekkel</t>
  </si>
  <si>
    <t>11.1.</t>
  </si>
  <si>
    <t>11.2.</t>
  </si>
  <si>
    <t>11.3.</t>
  </si>
  <si>
    <t>11.4.</t>
  </si>
  <si>
    <t>842421-1</t>
  </si>
  <si>
    <t>Közterület rendjének fenntartása</t>
  </si>
  <si>
    <t>12.1.</t>
  </si>
  <si>
    <t>12.2.</t>
  </si>
  <si>
    <t>12.3.</t>
  </si>
  <si>
    <t>12.4.</t>
  </si>
  <si>
    <t>842510-1</t>
  </si>
  <si>
    <t>Tűz-, polgári és katasztrófavédelem központi és területi ig-a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</si>
</sst>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#.0"/>
    <numFmt numFmtId="166" formatCode="#,##0.0"/>
    <numFmt numFmtId="167" formatCode="#"/>
    <numFmt numFmtId="168" formatCode="yy/mm/dd"/>
  </numFmts>
  <fonts count="4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Unicode MS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2"/>
      <name val="Arial CE"/>
      <family val="2"/>
    </font>
    <font>
      <i/>
      <sz val="11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b/>
      <sz val="1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b/>
      <sz val="11"/>
      <name val="MS Sans Serif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49"/>
      <name val="Arial"/>
      <family val="0"/>
    </font>
    <font>
      <b/>
      <i/>
      <sz val="11"/>
      <color indexed="12"/>
      <name val="Arial"/>
      <family val="2"/>
    </font>
    <font>
      <b/>
      <sz val="11.5"/>
      <name val="Arial"/>
      <family val="2"/>
    </font>
    <font>
      <b/>
      <sz val="11.5"/>
      <color indexed="12"/>
      <name val="Arial"/>
      <family val="2"/>
    </font>
    <font>
      <b/>
      <i/>
      <sz val="10.5"/>
      <name val="Arial"/>
      <family val="2"/>
    </font>
    <font>
      <b/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4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0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6" xfId="0" applyNumberFormat="1" applyFont="1" applyBorder="1" applyAlignment="1">
      <alignment/>
    </xf>
    <xf numFmtId="0" fontId="2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164" fontId="1" fillId="0" borderId="8" xfId="0" applyNumberFormat="1" applyFont="1" applyFill="1" applyBorder="1" applyAlignment="1">
      <alignment/>
    </xf>
    <xf numFmtId="165" fontId="1" fillId="0" borderId="8" xfId="0" applyNumberFormat="1" applyFont="1" applyFill="1" applyBorder="1" applyAlignment="1">
      <alignment/>
    </xf>
    <xf numFmtId="0" fontId="1" fillId="0" borderId="9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1" fillId="0" borderId="13" xfId="0" applyNumberFormat="1" applyFont="1" applyFill="1" applyBorder="1" applyAlignment="1">
      <alignment/>
    </xf>
    <xf numFmtId="3" fontId="1" fillId="0" borderId="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165" fontId="2" fillId="0" borderId="17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164" fontId="2" fillId="0" borderId="17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5" fontId="2" fillId="0" borderId="18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3" fontId="1" fillId="0" borderId="4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49" fontId="1" fillId="0" borderId="21" xfId="0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49" fontId="1" fillId="0" borderId="7" xfId="0" applyNumberFormat="1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3" fontId="2" fillId="0" borderId="8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8" fillId="0" borderId="8" xfId="0" applyNumberFormat="1" applyFont="1" applyFill="1" applyBorder="1" applyAlignment="1">
      <alignment/>
    </xf>
    <xf numFmtId="3" fontId="8" fillId="0" borderId="8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23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vertical="center"/>
    </xf>
    <xf numFmtId="164" fontId="9" fillId="0" borderId="17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/>
    </xf>
    <xf numFmtId="166" fontId="9" fillId="0" borderId="18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0" fontId="2" fillId="0" borderId="2" xfId="0" applyFont="1" applyFill="1" applyBorder="1" applyAlignment="1">
      <alignment/>
    </xf>
    <xf numFmtId="164" fontId="4" fillId="0" borderId="25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164" fontId="4" fillId="0" borderId="34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6" xfId="0" applyFont="1" applyBorder="1" applyAlignment="1">
      <alignment/>
    </xf>
    <xf numFmtId="0" fontId="10" fillId="0" borderId="20" xfId="0" applyFont="1" applyFill="1" applyBorder="1" applyAlignment="1">
      <alignment/>
    </xf>
    <xf numFmtId="164" fontId="1" fillId="0" borderId="2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37" xfId="0" applyNumberFormat="1" applyFont="1" applyBorder="1" applyAlignment="1">
      <alignment horizontal="right"/>
    </xf>
    <xf numFmtId="0" fontId="1" fillId="0" borderId="38" xfId="0" applyFont="1" applyBorder="1" applyAlignment="1">
      <alignment/>
    </xf>
    <xf numFmtId="0" fontId="1" fillId="0" borderId="39" xfId="0" applyFont="1" applyFill="1" applyBorder="1" applyAlignment="1">
      <alignment/>
    </xf>
    <xf numFmtId="164" fontId="1" fillId="0" borderId="40" xfId="0" applyNumberFormat="1" applyFont="1" applyFill="1" applyBorder="1" applyAlignment="1">
      <alignment/>
    </xf>
    <xf numFmtId="165" fontId="1" fillId="0" borderId="41" xfId="0" applyNumberFormat="1" applyFont="1" applyBorder="1" applyAlignment="1">
      <alignment/>
    </xf>
    <xf numFmtId="0" fontId="1" fillId="0" borderId="42" xfId="0" applyFont="1" applyFill="1" applyBorder="1" applyAlignment="1">
      <alignment horizontal="left"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164" fontId="1" fillId="0" borderId="43" xfId="0" applyNumberFormat="1" applyFont="1" applyFill="1" applyBorder="1" applyAlignment="1">
      <alignment/>
    </xf>
    <xf numFmtId="164" fontId="1" fillId="0" borderId="37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164" fontId="1" fillId="0" borderId="45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164" fontId="1" fillId="0" borderId="37" xfId="0" applyNumberFormat="1" applyFont="1" applyFill="1" applyBorder="1" applyAlignment="1">
      <alignment/>
    </xf>
    <xf numFmtId="0" fontId="1" fillId="0" borderId="39" xfId="0" applyFont="1" applyFill="1" applyBorder="1" applyAlignment="1">
      <alignment horizontal="left"/>
    </xf>
    <xf numFmtId="0" fontId="1" fillId="0" borderId="46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2" xfId="0" applyFont="1" applyBorder="1" applyAlignment="1">
      <alignment/>
    </xf>
    <xf numFmtId="164" fontId="1" fillId="0" borderId="43" xfId="0" applyNumberFormat="1" applyFont="1" applyBorder="1" applyAlignment="1">
      <alignment/>
    </xf>
    <xf numFmtId="164" fontId="1" fillId="0" borderId="45" xfId="0" applyNumberFormat="1" applyFont="1" applyBorder="1" applyAlignment="1">
      <alignment/>
    </xf>
    <xf numFmtId="164" fontId="1" fillId="0" borderId="47" xfId="0" applyNumberFormat="1" applyFont="1" applyBorder="1" applyAlignment="1">
      <alignment/>
    </xf>
    <xf numFmtId="165" fontId="1" fillId="0" borderId="48" xfId="0" applyNumberFormat="1" applyFont="1" applyBorder="1" applyAlignment="1">
      <alignment/>
    </xf>
    <xf numFmtId="0" fontId="9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9" fillId="0" borderId="51" xfId="0" applyFont="1" applyFill="1" applyBorder="1" applyAlignment="1">
      <alignment/>
    </xf>
    <xf numFmtId="0" fontId="0" fillId="0" borderId="51" xfId="0" applyFont="1" applyBorder="1" applyAlignment="1">
      <alignment/>
    </xf>
    <xf numFmtId="164" fontId="9" fillId="0" borderId="51" xfId="0" applyNumberFormat="1" applyFont="1" applyBorder="1" applyAlignment="1">
      <alignment/>
    </xf>
    <xf numFmtId="164" fontId="9" fillId="0" borderId="52" xfId="0" applyNumberFormat="1" applyFont="1" applyBorder="1" applyAlignment="1">
      <alignment/>
    </xf>
    <xf numFmtId="165" fontId="9" fillId="0" borderId="53" xfId="0" applyNumberFormat="1" applyFont="1" applyBorder="1" applyAlignment="1">
      <alignment/>
    </xf>
    <xf numFmtId="0" fontId="1" fillId="0" borderId="54" xfId="0" applyFont="1" applyBorder="1" applyAlignment="1">
      <alignment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1" fillId="0" borderId="54" xfId="0" applyNumberFormat="1" applyFont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0" fillId="0" borderId="10" xfId="0" applyFont="1" applyBorder="1" applyAlignment="1">
      <alignment/>
    </xf>
    <xf numFmtId="49" fontId="1" fillId="0" borderId="38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166" fontId="1" fillId="0" borderId="41" xfId="0" applyNumberFormat="1" applyFont="1" applyBorder="1" applyAlignment="1">
      <alignment horizontal="right"/>
    </xf>
    <xf numFmtId="164" fontId="1" fillId="0" borderId="21" xfId="0" applyNumberFormat="1" applyFont="1" applyFill="1" applyBorder="1" applyAlignment="1">
      <alignment/>
    </xf>
    <xf numFmtId="166" fontId="1" fillId="0" borderId="41" xfId="0" applyNumberFormat="1" applyFont="1" applyBorder="1" applyAlignment="1">
      <alignment/>
    </xf>
    <xf numFmtId="164" fontId="1" fillId="0" borderId="44" xfId="0" applyNumberFormat="1" applyFont="1" applyFill="1" applyBorder="1" applyAlignment="1">
      <alignment/>
    </xf>
    <xf numFmtId="49" fontId="9" fillId="0" borderId="57" xfId="0" applyNumberFormat="1" applyFont="1" applyBorder="1" applyAlignment="1">
      <alignment/>
    </xf>
    <xf numFmtId="0" fontId="1" fillId="0" borderId="58" xfId="0" applyFont="1" applyFill="1" applyBorder="1" applyAlignment="1">
      <alignment/>
    </xf>
    <xf numFmtId="0" fontId="9" fillId="0" borderId="59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164" fontId="9" fillId="0" borderId="59" xfId="0" applyNumberFormat="1" applyFont="1" applyFill="1" applyBorder="1" applyAlignment="1">
      <alignment/>
    </xf>
    <xf numFmtId="164" fontId="9" fillId="0" borderId="58" xfId="0" applyNumberFormat="1" applyFont="1" applyFill="1" applyBorder="1" applyAlignment="1">
      <alignment/>
    </xf>
    <xf numFmtId="3" fontId="9" fillId="0" borderId="58" xfId="0" applyNumberFormat="1" applyFont="1" applyBorder="1" applyAlignment="1">
      <alignment/>
    </xf>
    <xf numFmtId="166" fontId="9" fillId="0" borderId="61" xfId="0" applyNumberFormat="1" applyFont="1" applyBorder="1" applyAlignment="1">
      <alignment/>
    </xf>
    <xf numFmtId="0" fontId="11" fillId="0" borderId="2" xfId="0" applyFont="1" applyFill="1" applyBorder="1" applyAlignment="1">
      <alignment/>
    </xf>
    <xf numFmtId="3" fontId="4" fillId="0" borderId="25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left"/>
    </xf>
    <xf numFmtId="3" fontId="1" fillId="0" borderId="8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62" xfId="0" applyFont="1" applyBorder="1" applyAlignment="1">
      <alignment/>
    </xf>
    <xf numFmtId="3" fontId="4" fillId="0" borderId="45" xfId="0" applyNumberFormat="1" applyFont="1" applyFill="1" applyBorder="1" applyAlignment="1">
      <alignment horizontal="center"/>
    </xf>
    <xf numFmtId="3" fontId="1" fillId="0" borderId="63" xfId="0" applyNumberFormat="1" applyFont="1" applyBorder="1" applyAlignment="1">
      <alignment/>
    </xf>
    <xf numFmtId="3" fontId="1" fillId="0" borderId="64" xfId="0" applyNumberFormat="1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5" fillId="0" borderId="13" xfId="0" applyNumberFormat="1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13" xfId="0" applyFont="1" applyBorder="1" applyAlignment="1">
      <alignment/>
    </xf>
    <xf numFmtId="164" fontId="2" fillId="0" borderId="13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7" xfId="0" applyNumberFormat="1" applyFont="1" applyFill="1" applyBorder="1" applyAlignment="1">
      <alignment/>
    </xf>
    <xf numFmtId="49" fontId="0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9" fillId="0" borderId="23" xfId="0" applyFon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164" fontId="2" fillId="0" borderId="65" xfId="0" applyNumberFormat="1" applyFont="1" applyFill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166" fontId="2" fillId="0" borderId="18" xfId="0" applyNumberFormat="1" applyFont="1" applyBorder="1" applyAlignment="1">
      <alignment vertical="center"/>
    </xf>
    <xf numFmtId="49" fontId="7" fillId="0" borderId="2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/>
    </xf>
    <xf numFmtId="49" fontId="1" fillId="0" borderId="25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/>
    </xf>
    <xf numFmtId="49" fontId="1" fillId="0" borderId="34" xfId="0" applyNumberFormat="1" applyFont="1" applyFill="1" applyBorder="1" applyAlignment="1">
      <alignment/>
    </xf>
    <xf numFmtId="49" fontId="1" fillId="0" borderId="66" xfId="0" applyNumberFormat="1" applyFont="1" applyFill="1" applyBorder="1" applyAlignment="1">
      <alignment horizontal="center"/>
    </xf>
    <xf numFmtId="164" fontId="1" fillId="0" borderId="25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164" fontId="9" fillId="0" borderId="13" xfId="0" applyNumberFormat="1" applyFont="1" applyFill="1" applyBorder="1" applyAlignment="1">
      <alignment/>
    </xf>
    <xf numFmtId="3" fontId="9" fillId="0" borderId="8" xfId="0" applyNumberFormat="1" applyFont="1" applyBorder="1" applyAlignment="1">
      <alignment/>
    </xf>
    <xf numFmtId="166" fontId="9" fillId="0" borderId="10" xfId="0" applyNumberFormat="1" applyFont="1" applyBorder="1" applyAlignment="1">
      <alignment/>
    </xf>
    <xf numFmtId="164" fontId="9" fillId="0" borderId="8" xfId="0" applyNumberFormat="1" applyFont="1" applyBorder="1" applyAlignment="1">
      <alignment/>
    </xf>
    <xf numFmtId="164" fontId="9" fillId="0" borderId="65" xfId="0" applyNumberFormat="1" applyFont="1" applyFill="1" applyBorder="1" applyAlignment="1">
      <alignment vertical="center"/>
    </xf>
    <xf numFmtId="164" fontId="1" fillId="0" borderId="13" xfId="0" applyNumberFormat="1" applyFont="1" applyFill="1" applyBorder="1" applyAlignment="1">
      <alignment horizontal="right"/>
    </xf>
    <xf numFmtId="164" fontId="0" fillId="0" borderId="8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49" fontId="13" fillId="0" borderId="7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164" fontId="13" fillId="0" borderId="13" xfId="0" applyNumberFormat="1" applyFont="1" applyFill="1" applyBorder="1" applyAlignment="1">
      <alignment/>
    </xf>
    <xf numFmtId="3" fontId="13" fillId="0" borderId="8" xfId="0" applyNumberFormat="1" applyFont="1" applyBorder="1" applyAlignment="1">
      <alignment/>
    </xf>
    <xf numFmtId="166" fontId="13" fillId="0" borderId="10" xfId="0" applyNumberFormat="1" applyFont="1" applyBorder="1" applyAlignment="1">
      <alignment/>
    </xf>
    <xf numFmtId="49" fontId="1" fillId="0" borderId="7" xfId="0" applyNumberFormat="1" applyFont="1" applyFill="1" applyBorder="1" applyAlignment="1">
      <alignment horizontal="right"/>
    </xf>
    <xf numFmtId="164" fontId="14" fillId="0" borderId="0" xfId="0" applyNumberFormat="1" applyFont="1" applyAlignment="1">
      <alignment/>
    </xf>
    <xf numFmtId="164" fontId="1" fillId="0" borderId="11" xfId="0" applyNumberFormat="1" applyFont="1" applyBorder="1" applyAlignment="1">
      <alignment/>
    </xf>
    <xf numFmtId="49" fontId="9" fillId="0" borderId="23" xfId="0" applyNumberFormat="1" applyFont="1" applyFill="1" applyBorder="1" applyAlignment="1">
      <alignment vertical="center"/>
    </xf>
    <xf numFmtId="164" fontId="9" fillId="0" borderId="17" xfId="0" applyNumberFormat="1" applyFont="1" applyFill="1" applyBorder="1" applyAlignment="1">
      <alignment vertical="center"/>
    </xf>
    <xf numFmtId="164" fontId="9" fillId="0" borderId="11" xfId="0" applyNumberFormat="1" applyFont="1" applyBorder="1" applyAlignment="1">
      <alignment/>
    </xf>
    <xf numFmtId="49" fontId="1" fillId="0" borderId="2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164" fontId="1" fillId="0" borderId="25" xfId="0" applyNumberFormat="1" applyFont="1" applyFill="1" applyBorder="1" applyAlignment="1">
      <alignment horizontal="right"/>
    </xf>
    <xf numFmtId="164" fontId="0" fillId="0" borderId="4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1" fillId="0" borderId="15" xfId="0" applyNumberFormat="1" applyFont="1" applyFill="1" applyBorder="1" applyAlignment="1">
      <alignment vertical="center"/>
    </xf>
    <xf numFmtId="164" fontId="9" fillId="0" borderId="17" xfId="0" applyNumberFormat="1" applyFont="1" applyBorder="1" applyAlignment="1">
      <alignment/>
    </xf>
    <xf numFmtId="165" fontId="9" fillId="0" borderId="18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/>
    </xf>
    <xf numFmtId="164" fontId="1" fillId="0" borderId="67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/>
    </xf>
    <xf numFmtId="164" fontId="1" fillId="0" borderId="27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34" xfId="0" applyNumberFormat="1" applyFont="1" applyFill="1" applyBorder="1" applyAlignment="1">
      <alignment/>
    </xf>
    <xf numFmtId="164" fontId="1" fillId="0" borderId="68" xfId="0" applyNumberFormat="1" applyFont="1" applyFill="1" applyBorder="1" applyAlignment="1">
      <alignment/>
    </xf>
    <xf numFmtId="164" fontId="1" fillId="0" borderId="9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32" xfId="0" applyNumberFormat="1" applyFont="1" applyFill="1" applyBorder="1" applyAlignment="1">
      <alignment/>
    </xf>
    <xf numFmtId="164" fontId="1" fillId="0" borderId="69" xfId="0" applyNumberFormat="1" applyFont="1" applyFill="1" applyBorder="1" applyAlignment="1">
      <alignment/>
    </xf>
    <xf numFmtId="164" fontId="1" fillId="0" borderId="33" xfId="0" applyNumberFormat="1" applyFont="1" applyFill="1" applyBorder="1" applyAlignment="1">
      <alignment/>
    </xf>
    <xf numFmtId="164" fontId="1" fillId="0" borderId="35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164" fontId="1" fillId="0" borderId="31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 horizontal="left"/>
    </xf>
    <xf numFmtId="165" fontId="2" fillId="0" borderId="27" xfId="0" applyNumberFormat="1" applyFont="1" applyFill="1" applyBorder="1" applyAlignment="1">
      <alignment/>
    </xf>
    <xf numFmtId="165" fontId="1" fillId="0" borderId="7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49" fontId="4" fillId="0" borderId="7" xfId="0" applyNumberFormat="1" applyFont="1" applyFill="1" applyBorder="1" applyAlignment="1">
      <alignment/>
    </xf>
    <xf numFmtId="49" fontId="4" fillId="0" borderId="7" xfId="0" applyNumberFormat="1" applyFont="1" applyFill="1" applyBorder="1" applyAlignment="1">
      <alignment horizontal="right"/>
    </xf>
    <xf numFmtId="164" fontId="2" fillId="0" borderId="27" xfId="0" applyNumberFormat="1" applyFont="1" applyFill="1" applyBorder="1" applyAlignment="1">
      <alignment/>
    </xf>
    <xf numFmtId="49" fontId="1" fillId="0" borderId="70" xfId="0" applyNumberFormat="1" applyFont="1" applyFill="1" applyBorder="1" applyAlignment="1">
      <alignment/>
    </xf>
    <xf numFmtId="49" fontId="1" fillId="0" borderId="71" xfId="0" applyNumberFormat="1" applyFont="1" applyFill="1" applyBorder="1" applyAlignment="1">
      <alignment/>
    </xf>
    <xf numFmtId="164" fontId="1" fillId="0" borderId="72" xfId="0" applyNumberFormat="1" applyFont="1" applyFill="1" applyBorder="1" applyAlignment="1">
      <alignment/>
    </xf>
    <xf numFmtId="164" fontId="1" fillId="0" borderId="70" xfId="0" applyNumberFormat="1" applyFont="1" applyFill="1" applyBorder="1" applyAlignment="1">
      <alignment/>
    </xf>
    <xf numFmtId="164" fontId="1" fillId="0" borderId="73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49" fontId="1" fillId="0" borderId="74" xfId="0" applyNumberFormat="1" applyFont="1" applyFill="1" applyBorder="1" applyAlignment="1">
      <alignment horizontal="right"/>
    </xf>
    <xf numFmtId="49" fontId="1" fillId="0" borderId="75" xfId="0" applyNumberFormat="1" applyFont="1" applyFill="1" applyBorder="1" applyAlignment="1">
      <alignment/>
    </xf>
    <xf numFmtId="165" fontId="2" fillId="0" borderId="76" xfId="0" applyNumberFormat="1" applyFont="1" applyFill="1" applyBorder="1" applyAlignment="1">
      <alignment/>
    </xf>
    <xf numFmtId="165" fontId="2" fillId="0" borderId="77" xfId="0" applyNumberFormat="1" applyFont="1" applyFill="1" applyBorder="1" applyAlignment="1">
      <alignment/>
    </xf>
    <xf numFmtId="165" fontId="2" fillId="0" borderId="78" xfId="0" applyNumberFormat="1" applyFont="1" applyFill="1" applyBorder="1" applyAlignment="1">
      <alignment/>
    </xf>
    <xf numFmtId="165" fontId="2" fillId="0" borderId="74" xfId="0" applyNumberFormat="1" applyFont="1" applyFill="1" applyBorder="1" applyAlignment="1">
      <alignment/>
    </xf>
    <xf numFmtId="49" fontId="0" fillId="0" borderId="7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73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49" fontId="1" fillId="0" borderId="7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/>
    </xf>
    <xf numFmtId="165" fontId="2" fillId="0" borderId="27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78" xfId="0" applyNumberFormat="1" applyFont="1" applyBorder="1" applyAlignment="1">
      <alignment/>
    </xf>
    <xf numFmtId="49" fontId="1" fillId="0" borderId="70" xfId="0" applyNumberFormat="1" applyFont="1" applyBorder="1" applyAlignment="1">
      <alignment/>
    </xf>
    <xf numFmtId="49" fontId="1" fillId="0" borderId="71" xfId="0" applyNumberFormat="1" applyFont="1" applyBorder="1" applyAlignment="1">
      <alignment/>
    </xf>
    <xf numFmtId="164" fontId="1" fillId="0" borderId="72" xfId="0" applyNumberFormat="1" applyFont="1" applyBorder="1" applyAlignment="1">
      <alignment/>
    </xf>
    <xf numFmtId="164" fontId="1" fillId="0" borderId="70" xfId="0" applyNumberFormat="1" applyFont="1" applyBorder="1" applyAlignment="1">
      <alignment/>
    </xf>
    <xf numFmtId="164" fontId="1" fillId="0" borderId="73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74" xfId="0" applyNumberFormat="1" applyFont="1" applyBorder="1" applyAlignment="1">
      <alignment/>
    </xf>
    <xf numFmtId="49" fontId="1" fillId="0" borderId="77" xfId="0" applyNumberFormat="1" applyFont="1" applyBorder="1" applyAlignment="1">
      <alignment/>
    </xf>
    <xf numFmtId="164" fontId="1" fillId="0" borderId="76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1" fillId="0" borderId="71" xfId="0" applyNumberFormat="1" applyFont="1" applyBorder="1" applyAlignment="1">
      <alignment/>
    </xf>
    <xf numFmtId="165" fontId="1" fillId="0" borderId="2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2" fillId="0" borderId="72" xfId="0" applyNumberFormat="1" applyFont="1" applyBorder="1" applyAlignment="1">
      <alignment/>
    </xf>
    <xf numFmtId="164" fontId="2" fillId="0" borderId="71" xfId="0" applyNumberFormat="1" applyFont="1" applyBorder="1" applyAlignment="1">
      <alignment/>
    </xf>
    <xf numFmtId="164" fontId="2" fillId="0" borderId="73" xfId="0" applyNumberFormat="1" applyFont="1" applyBorder="1" applyAlignment="1">
      <alignment/>
    </xf>
    <xf numFmtId="164" fontId="2" fillId="0" borderId="70" xfId="0" applyNumberFormat="1" applyFont="1" applyBorder="1" applyAlignment="1">
      <alignment/>
    </xf>
    <xf numFmtId="49" fontId="9" fillId="0" borderId="7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2" xfId="0" applyFont="1" applyBorder="1" applyAlignment="1">
      <alignment/>
    </xf>
    <xf numFmtId="49" fontId="1" fillId="0" borderId="14" xfId="0" applyNumberFormat="1" applyFont="1" applyBorder="1" applyAlignment="1">
      <alignment horizontal="right"/>
    </xf>
    <xf numFmtId="49" fontId="1" fillId="0" borderId="68" xfId="0" applyNumberFormat="1" applyFont="1" applyFill="1" applyBorder="1" applyAlignment="1">
      <alignment/>
    </xf>
    <xf numFmtId="165" fontId="2" fillId="0" borderId="69" xfId="0" applyNumberFormat="1" applyFont="1" applyBorder="1" applyAlignment="1">
      <alignment/>
    </xf>
    <xf numFmtId="165" fontId="2" fillId="0" borderId="34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3" xfId="0" applyNumberFormat="1" applyFont="1" applyBorder="1" applyAlignment="1">
      <alignment/>
    </xf>
    <xf numFmtId="164" fontId="1" fillId="0" borderId="31" xfId="0" applyNumberFormat="1" applyFont="1" applyBorder="1" applyAlignment="1">
      <alignment/>
    </xf>
    <xf numFmtId="164" fontId="1" fillId="0" borderId="34" xfId="0" applyNumberFormat="1" applyFont="1" applyBorder="1" applyAlignment="1">
      <alignment/>
    </xf>
    <xf numFmtId="164" fontId="1" fillId="0" borderId="36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25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32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/>
    </xf>
    <xf numFmtId="164" fontId="0" fillId="0" borderId="32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0" borderId="70" xfId="0" applyNumberFormat="1" applyFont="1" applyFill="1" applyBorder="1" applyAlignment="1">
      <alignment horizontal="left"/>
    </xf>
    <xf numFmtId="164" fontId="1" fillId="0" borderId="71" xfId="0" applyNumberFormat="1" applyFont="1" applyFill="1" applyBorder="1" applyAlignment="1">
      <alignment/>
    </xf>
    <xf numFmtId="164" fontId="0" fillId="0" borderId="79" xfId="0" applyNumberFormat="1" applyFont="1" applyFill="1" applyBorder="1" applyAlignment="1">
      <alignment/>
    </xf>
    <xf numFmtId="164" fontId="1" fillId="0" borderId="80" xfId="0" applyNumberFormat="1" applyFont="1" applyFill="1" applyBorder="1" applyAlignment="1">
      <alignment/>
    </xf>
    <xf numFmtId="164" fontId="1" fillId="0" borderId="81" xfId="0" applyNumberFormat="1" applyFont="1" applyFill="1" applyBorder="1" applyAlignment="1">
      <alignment/>
    </xf>
    <xf numFmtId="164" fontId="1" fillId="0" borderId="79" xfId="0" applyNumberFormat="1" applyFont="1" applyFill="1" applyBorder="1" applyAlignment="1">
      <alignment/>
    </xf>
    <xf numFmtId="164" fontId="1" fillId="0" borderId="82" xfId="0" applyNumberFormat="1" applyFont="1" applyBorder="1" applyAlignment="1">
      <alignment/>
    </xf>
    <xf numFmtId="0" fontId="1" fillId="0" borderId="7" xfId="0" applyFont="1" applyBorder="1" applyAlignment="1">
      <alignment/>
    </xf>
    <xf numFmtId="49" fontId="1" fillId="0" borderId="0" xfId="0" applyNumberFormat="1" applyFont="1" applyAlignment="1">
      <alignment horizontal="right"/>
    </xf>
    <xf numFmtId="165" fontId="1" fillId="0" borderId="32" xfId="0" applyNumberFormat="1" applyFont="1" applyFill="1" applyBorder="1" applyAlignment="1">
      <alignment/>
    </xf>
    <xf numFmtId="165" fontId="1" fillId="0" borderId="9" xfId="0" applyNumberFormat="1" applyFont="1" applyFill="1" applyBorder="1" applyAlignment="1">
      <alignment/>
    </xf>
    <xf numFmtId="165" fontId="1" fillId="0" borderId="13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1" fillId="0" borderId="74" xfId="0" applyNumberFormat="1" applyFont="1" applyFill="1" applyBorder="1" applyAlignment="1">
      <alignment/>
    </xf>
    <xf numFmtId="164" fontId="1" fillId="0" borderId="83" xfId="0" applyNumberFormat="1" applyFont="1" applyFill="1" applyBorder="1" applyAlignment="1">
      <alignment/>
    </xf>
    <xf numFmtId="164" fontId="1" fillId="0" borderId="82" xfId="0" applyNumberFormat="1" applyFont="1" applyFill="1" applyBorder="1" applyAlignment="1">
      <alignment/>
    </xf>
    <xf numFmtId="165" fontId="2" fillId="0" borderId="32" xfId="0" applyNumberFormat="1" applyFont="1" applyFill="1" applyBorder="1" applyAlignment="1">
      <alignment/>
    </xf>
    <xf numFmtId="165" fontId="2" fillId="0" borderId="8" xfId="0" applyNumberFormat="1" applyFont="1" applyFill="1" applyBorder="1" applyAlignment="1">
      <alignment/>
    </xf>
    <xf numFmtId="165" fontId="2" fillId="0" borderId="13" xfId="0" applyNumberFormat="1" applyFont="1" applyFill="1" applyBorder="1" applyAlignment="1">
      <alignment/>
    </xf>
    <xf numFmtId="165" fontId="2" fillId="0" borderId="9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49" fontId="1" fillId="0" borderId="71" xfId="0" applyNumberFormat="1" applyFont="1" applyBorder="1" applyAlignment="1">
      <alignment horizontal="right"/>
    </xf>
    <xf numFmtId="164" fontId="2" fillId="0" borderId="72" xfId="0" applyNumberFormat="1" applyFont="1" applyFill="1" applyBorder="1" applyAlignment="1">
      <alignment/>
    </xf>
    <xf numFmtId="164" fontId="2" fillId="0" borderId="79" xfId="0" applyNumberFormat="1" applyFont="1" applyFill="1" applyBorder="1" applyAlignment="1">
      <alignment/>
    </xf>
    <xf numFmtId="164" fontId="2" fillId="0" borderId="81" xfId="0" applyNumberFormat="1" applyFont="1" applyFill="1" applyBorder="1" applyAlignment="1">
      <alignment/>
    </xf>
    <xf numFmtId="164" fontId="2" fillId="0" borderId="82" xfId="0" applyNumberFormat="1" applyFont="1" applyFill="1" applyBorder="1" applyAlignment="1">
      <alignment/>
    </xf>
    <xf numFmtId="164" fontId="2" fillId="0" borderId="73" xfId="0" applyNumberFormat="1" applyFont="1" applyFill="1" applyBorder="1" applyAlignment="1">
      <alignment/>
    </xf>
    <xf numFmtId="164" fontId="2" fillId="0" borderId="83" xfId="0" applyNumberFormat="1" applyFont="1" applyFill="1" applyBorder="1" applyAlignment="1">
      <alignment/>
    </xf>
    <xf numFmtId="164" fontId="2" fillId="0" borderId="80" xfId="0" applyNumberFormat="1" applyFont="1" applyFill="1" applyBorder="1" applyAlignment="1">
      <alignment/>
    </xf>
    <xf numFmtId="164" fontId="2" fillId="0" borderId="71" xfId="0" applyNumberFormat="1" applyFont="1" applyFill="1" applyBorder="1" applyAlignment="1">
      <alignment/>
    </xf>
    <xf numFmtId="164" fontId="1" fillId="0" borderId="32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5" fontId="1" fillId="0" borderId="32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2" fillId="0" borderId="31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83" xfId="0" applyNumberFormat="1" applyFont="1" applyBorder="1" applyAlignment="1">
      <alignment/>
    </xf>
    <xf numFmtId="164" fontId="1" fillId="0" borderId="79" xfId="0" applyNumberFormat="1" applyFont="1" applyBorder="1" applyAlignment="1">
      <alignment/>
    </xf>
    <xf numFmtId="164" fontId="1" fillId="0" borderId="81" xfId="0" applyNumberFormat="1" applyFont="1" applyBorder="1" applyAlignment="1">
      <alignment/>
    </xf>
    <xf numFmtId="164" fontId="1" fillId="0" borderId="8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49" fontId="1" fillId="0" borderId="34" xfId="0" applyNumberFormat="1" applyFont="1" applyBorder="1" applyAlignment="1">
      <alignment horizontal="right"/>
    </xf>
    <xf numFmtId="164" fontId="1" fillId="0" borderId="68" xfId="0" applyNumberFormat="1" applyFont="1" applyBorder="1" applyAlignment="1">
      <alignment/>
    </xf>
    <xf numFmtId="165" fontId="2" fillId="0" borderId="33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66" xfId="0" applyNumberFormat="1" applyFont="1" applyBorder="1" applyAlignment="1">
      <alignment/>
    </xf>
    <xf numFmtId="165" fontId="2" fillId="0" borderId="68" xfId="0" applyNumberFormat="1" applyFont="1" applyBorder="1" applyAlignment="1">
      <alignment/>
    </xf>
    <xf numFmtId="165" fontId="2" fillId="0" borderId="35" xfId="0" applyNumberFormat="1" applyFont="1" applyBorder="1" applyAlignment="1">
      <alignment/>
    </xf>
    <xf numFmtId="164" fontId="1" fillId="0" borderId="66" xfId="0" applyNumberFormat="1" applyFont="1" applyBorder="1" applyAlignment="1">
      <alignment/>
    </xf>
    <xf numFmtId="164" fontId="1" fillId="0" borderId="33" xfId="0" applyNumberFormat="1" applyFont="1" applyFill="1" applyBorder="1" applyAlignment="1">
      <alignment horizontal="center"/>
    </xf>
    <xf numFmtId="164" fontId="1" fillId="0" borderId="35" xfId="0" applyNumberFormat="1" applyFont="1" applyFill="1" applyBorder="1" applyAlignment="1">
      <alignment horizontal="center"/>
    </xf>
    <xf numFmtId="164" fontId="1" fillId="0" borderId="34" xfId="0" applyNumberFormat="1" applyFont="1" applyFill="1" applyBorder="1" applyAlignment="1">
      <alignment horizontal="center"/>
    </xf>
    <xf numFmtId="164" fontId="1" fillId="0" borderId="84" xfId="0" applyNumberFormat="1" applyFont="1" applyFill="1" applyBorder="1" applyAlignment="1">
      <alignment horizontal="center"/>
    </xf>
    <xf numFmtId="164" fontId="1" fillId="0" borderId="78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/>
    </xf>
    <xf numFmtId="164" fontId="1" fillId="0" borderId="84" xfId="0" applyNumberFormat="1" applyFont="1" applyBorder="1" applyAlignment="1">
      <alignment/>
    </xf>
    <xf numFmtId="164" fontId="1" fillId="0" borderId="85" xfId="0" applyNumberFormat="1" applyFont="1" applyBorder="1" applyAlignment="1">
      <alignment/>
    </xf>
    <xf numFmtId="164" fontId="1" fillId="0" borderId="78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65" fontId="2" fillId="0" borderId="32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4" fontId="15" fillId="0" borderId="31" xfId="0" applyNumberFormat="1" applyFont="1" applyBorder="1" applyAlignment="1">
      <alignment/>
    </xf>
    <xf numFmtId="164" fontId="15" fillId="0" borderId="9" xfId="0" applyNumberFormat="1" applyFont="1" applyBorder="1" applyAlignment="1">
      <alignment/>
    </xf>
    <xf numFmtId="165" fontId="2" fillId="0" borderId="86" xfId="0" applyNumberFormat="1" applyFont="1" applyBorder="1" applyAlignment="1">
      <alignment/>
    </xf>
    <xf numFmtId="165" fontId="2" fillId="0" borderId="84" xfId="0" applyNumberFormat="1" applyFont="1" applyBorder="1" applyAlignment="1">
      <alignment/>
    </xf>
    <xf numFmtId="165" fontId="2" fillId="0" borderId="87" xfId="0" applyNumberFormat="1" applyFont="1" applyBorder="1" applyAlignment="1">
      <alignment/>
    </xf>
    <xf numFmtId="165" fontId="2" fillId="0" borderId="85" xfId="0" applyNumberFormat="1" applyFont="1" applyBorder="1" applyAlignment="1">
      <alignment/>
    </xf>
    <xf numFmtId="165" fontId="2" fillId="0" borderId="78" xfId="0" applyNumberFormat="1" applyFont="1" applyBorder="1" applyAlignment="1">
      <alignment/>
    </xf>
    <xf numFmtId="164" fontId="9" fillId="0" borderId="70" xfId="0" applyNumberFormat="1" applyFont="1" applyBorder="1" applyAlignment="1">
      <alignment/>
    </xf>
    <xf numFmtId="164" fontId="2" fillId="0" borderId="83" xfId="0" applyNumberFormat="1" applyFont="1" applyBorder="1" applyAlignment="1">
      <alignment/>
    </xf>
    <xf numFmtId="164" fontId="9" fillId="0" borderId="7" xfId="0" applyNumberFormat="1" applyFont="1" applyBorder="1" applyAlignment="1">
      <alignment/>
    </xf>
    <xf numFmtId="164" fontId="9" fillId="0" borderId="27" xfId="0" applyNumberFormat="1" applyFont="1" applyBorder="1" applyAlignment="1">
      <alignment/>
    </xf>
    <xf numFmtId="164" fontId="9" fillId="0" borderId="32" xfId="0" applyNumberFormat="1" applyFont="1" applyBorder="1" applyAlignment="1">
      <alignment/>
    </xf>
    <xf numFmtId="164" fontId="9" fillId="0" borderId="13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9" fillId="0" borderId="9" xfId="0" applyNumberFormat="1" applyFont="1" applyBorder="1" applyAlignment="1">
      <alignment/>
    </xf>
    <xf numFmtId="165" fontId="9" fillId="0" borderId="27" xfId="0" applyNumberFormat="1" applyFont="1" applyBorder="1" applyAlignment="1">
      <alignment/>
    </xf>
    <xf numFmtId="165" fontId="9" fillId="0" borderId="32" xfId="0" applyNumberFormat="1" applyFont="1" applyBorder="1" applyAlignment="1">
      <alignment/>
    </xf>
    <xf numFmtId="165" fontId="9" fillId="0" borderId="8" xfId="0" applyNumberFormat="1" applyFont="1" applyBorder="1" applyAlignment="1">
      <alignment/>
    </xf>
    <xf numFmtId="165" fontId="9" fillId="0" borderId="13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9" xfId="0" applyNumberFormat="1" applyFont="1" applyBorder="1" applyAlignment="1">
      <alignment/>
    </xf>
    <xf numFmtId="164" fontId="1" fillId="0" borderId="69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164" fontId="1" fillId="0" borderId="3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68" xfId="0" applyFont="1" applyBorder="1" applyAlignment="1">
      <alignment/>
    </xf>
    <xf numFmtId="164" fontId="16" fillId="0" borderId="5" xfId="0" applyNumberFormat="1" applyFont="1" applyFill="1" applyBorder="1" applyAlignment="1">
      <alignment/>
    </xf>
    <xf numFmtId="164" fontId="16" fillId="0" borderId="4" xfId="0" applyNumberFormat="1" applyFont="1" applyFill="1" applyBorder="1" applyAlignment="1">
      <alignment/>
    </xf>
    <xf numFmtId="164" fontId="16" fillId="0" borderId="36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16" fillId="0" borderId="6" xfId="0" applyFont="1" applyFill="1" applyBorder="1" applyAlignment="1">
      <alignment/>
    </xf>
    <xf numFmtId="164" fontId="16" fillId="0" borderId="9" xfId="0" applyNumberFormat="1" applyFont="1" applyFill="1" applyBorder="1" applyAlignment="1">
      <alignment/>
    </xf>
    <xf numFmtId="164" fontId="16" fillId="0" borderId="8" xfId="0" applyNumberFormat="1" applyFont="1" applyFill="1" applyBorder="1" applyAlignment="1">
      <alignment/>
    </xf>
    <xf numFmtId="164" fontId="16" fillId="0" borderId="32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164" fontId="16" fillId="0" borderId="35" xfId="0" applyNumberFormat="1" applyFont="1" applyFill="1" applyBorder="1" applyAlignment="1">
      <alignment/>
    </xf>
    <xf numFmtId="164" fontId="16" fillId="0" borderId="11" xfId="0" applyNumberFormat="1" applyFont="1" applyFill="1" applyBorder="1" applyAlignment="1">
      <alignment/>
    </xf>
    <xf numFmtId="164" fontId="16" fillId="0" borderId="33" xfId="0" applyNumberFormat="1" applyFont="1" applyFill="1" applyBorder="1" applyAlignment="1">
      <alignment/>
    </xf>
    <xf numFmtId="164" fontId="16" fillId="0" borderId="34" xfId="0" applyNumberFormat="1" applyFont="1" applyFill="1" applyBorder="1" applyAlignment="1">
      <alignment/>
    </xf>
    <xf numFmtId="49" fontId="1" fillId="0" borderId="7" xfId="0" applyNumberFormat="1" applyFont="1" applyFill="1" applyBorder="1" applyAlignment="1">
      <alignment horizontal="left"/>
    </xf>
    <xf numFmtId="164" fontId="1" fillId="0" borderId="67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/>
    </xf>
    <xf numFmtId="164" fontId="1" fillId="0" borderId="8" xfId="0" applyNumberFormat="1" applyFont="1" applyFill="1" applyBorder="1" applyAlignment="1">
      <alignment horizontal="right"/>
    </xf>
    <xf numFmtId="164" fontId="1" fillId="0" borderId="27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164" fontId="1" fillId="0" borderId="32" xfId="0" applyNumberFormat="1" applyFont="1" applyFill="1" applyBorder="1" applyAlignment="1">
      <alignment horizontal="right"/>
    </xf>
    <xf numFmtId="165" fontId="1" fillId="0" borderId="27" xfId="0" applyNumberFormat="1" applyFont="1" applyFill="1" applyBorder="1" applyAlignment="1">
      <alignment horizontal="right"/>
    </xf>
    <xf numFmtId="165" fontId="1" fillId="0" borderId="8" xfId="0" applyNumberFormat="1" applyFont="1" applyFill="1" applyBorder="1" applyAlignment="1">
      <alignment horizontal="right"/>
    </xf>
    <xf numFmtId="49" fontId="2" fillId="0" borderId="70" xfId="0" applyNumberFormat="1" applyFont="1" applyFill="1" applyBorder="1" applyAlignment="1">
      <alignment horizontal="left"/>
    </xf>
    <xf numFmtId="164" fontId="1" fillId="0" borderId="72" xfId="0" applyNumberFormat="1" applyFont="1" applyFill="1" applyBorder="1" applyAlignment="1">
      <alignment horizontal="right"/>
    </xf>
    <xf numFmtId="164" fontId="1" fillId="0" borderId="80" xfId="0" applyNumberFormat="1" applyFont="1" applyFill="1" applyBorder="1" applyAlignment="1">
      <alignment horizontal="right"/>
    </xf>
    <xf numFmtId="164" fontId="1" fillId="0" borderId="81" xfId="0" applyNumberFormat="1" applyFont="1" applyFill="1" applyBorder="1" applyAlignment="1">
      <alignment horizontal="right"/>
    </xf>
    <xf numFmtId="164" fontId="1" fillId="0" borderId="81" xfId="0" applyNumberFormat="1" applyFont="1" applyFill="1" applyBorder="1" applyAlignment="1">
      <alignment horizontal="center"/>
    </xf>
    <xf numFmtId="164" fontId="1" fillId="0" borderId="82" xfId="0" applyNumberFormat="1" applyFont="1" applyFill="1" applyBorder="1" applyAlignment="1">
      <alignment horizontal="center"/>
    </xf>
    <xf numFmtId="164" fontId="1" fillId="0" borderId="79" xfId="0" applyNumberFormat="1" applyFont="1" applyFill="1" applyBorder="1" applyAlignment="1">
      <alignment horizontal="right"/>
    </xf>
    <xf numFmtId="164" fontId="1" fillId="0" borderId="73" xfId="0" applyNumberFormat="1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right"/>
    </xf>
    <xf numFmtId="164" fontId="1" fillId="0" borderId="75" xfId="0" applyNumberFormat="1" applyFont="1" applyFill="1" applyBorder="1" applyAlignment="1">
      <alignment/>
    </xf>
    <xf numFmtId="165" fontId="2" fillId="0" borderId="76" xfId="0" applyNumberFormat="1" applyFont="1" applyFill="1" applyBorder="1" applyAlignment="1">
      <alignment horizontal="right"/>
    </xf>
    <xf numFmtId="164" fontId="1" fillId="0" borderId="87" xfId="0" applyNumberFormat="1" applyFont="1" applyFill="1" applyBorder="1" applyAlignment="1">
      <alignment horizontal="right"/>
    </xf>
    <xf numFmtId="164" fontId="1" fillId="0" borderId="84" xfId="0" applyNumberFormat="1" applyFont="1" applyFill="1" applyBorder="1" applyAlignment="1">
      <alignment horizontal="right"/>
    </xf>
    <xf numFmtId="165" fontId="2" fillId="0" borderId="84" xfId="0" applyNumberFormat="1" applyFont="1" applyFill="1" applyBorder="1" applyAlignment="1">
      <alignment horizontal="right"/>
    </xf>
    <xf numFmtId="164" fontId="1" fillId="0" borderId="85" xfId="0" applyNumberFormat="1" applyFont="1" applyFill="1" applyBorder="1" applyAlignment="1">
      <alignment horizontal="center"/>
    </xf>
    <xf numFmtId="164" fontId="2" fillId="0" borderId="86" xfId="0" applyNumberFormat="1" applyFont="1" applyFill="1" applyBorder="1" applyAlignment="1">
      <alignment horizontal="right"/>
    </xf>
    <xf numFmtId="164" fontId="2" fillId="0" borderId="72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64" fontId="2" fillId="0" borderId="32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5" fontId="2" fillId="0" borderId="27" xfId="0" applyNumberFormat="1" applyFont="1" applyFill="1" applyBorder="1" applyAlignment="1">
      <alignment horizontal="right"/>
    </xf>
    <xf numFmtId="165" fontId="1" fillId="0" borderId="9" xfId="0" applyNumberFormat="1" applyFont="1" applyFill="1" applyBorder="1" applyAlignment="1">
      <alignment horizontal="right"/>
    </xf>
    <xf numFmtId="49" fontId="2" fillId="0" borderId="70" xfId="0" applyNumberFormat="1" applyFont="1" applyFill="1" applyBorder="1" applyAlignment="1">
      <alignment/>
    </xf>
    <xf numFmtId="164" fontId="17" fillId="0" borderId="9" xfId="0" applyNumberFormat="1" applyFont="1" applyFill="1" applyBorder="1" applyAlignment="1">
      <alignment/>
    </xf>
    <xf numFmtId="164" fontId="2" fillId="0" borderId="32" xfId="0" applyNumberFormat="1" applyFont="1" applyFill="1" applyBorder="1" applyAlignment="1">
      <alignment/>
    </xf>
    <xf numFmtId="164" fontId="0" fillId="0" borderId="78" xfId="0" applyNumberFormat="1" applyFont="1" applyBorder="1" applyAlignment="1">
      <alignment/>
    </xf>
    <xf numFmtId="165" fontId="2" fillId="0" borderId="84" xfId="0" applyNumberFormat="1" applyFont="1" applyFill="1" applyBorder="1" applyAlignment="1">
      <alignment/>
    </xf>
    <xf numFmtId="165" fontId="2" fillId="0" borderId="85" xfId="0" applyNumberFormat="1" applyFont="1" applyFill="1" applyBorder="1" applyAlignment="1">
      <alignment/>
    </xf>
    <xf numFmtId="49" fontId="9" fillId="0" borderId="7" xfId="0" applyNumberFormat="1" applyFont="1" applyFill="1" applyBorder="1" applyAlignment="1">
      <alignment/>
    </xf>
    <xf numFmtId="165" fontId="2" fillId="0" borderId="69" xfId="0" applyNumberFormat="1" applyFont="1" applyFill="1" applyBorder="1" applyAlignment="1">
      <alignment/>
    </xf>
    <xf numFmtId="165" fontId="2" fillId="0" borderId="33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5" fontId="1" fillId="0" borderId="11" xfId="0" applyNumberFormat="1" applyFont="1" applyFill="1" applyBorder="1" applyAlignment="1">
      <alignment/>
    </xf>
    <xf numFmtId="165" fontId="1" fillId="0" borderId="11" xfId="0" applyNumberFormat="1" applyFont="1" applyBorder="1" applyAlignment="1">
      <alignment/>
    </xf>
    <xf numFmtId="165" fontId="2" fillId="0" borderId="66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1" fillId="0" borderId="5" xfId="0" applyNumberFormat="1" applyFont="1" applyFill="1" applyBorder="1" applyAlignment="1">
      <alignment/>
    </xf>
    <xf numFmtId="164" fontId="0" fillId="0" borderId="26" xfId="0" applyNumberFormat="1" applyFont="1" applyBorder="1" applyAlignment="1">
      <alignment/>
    </xf>
    <xf numFmtId="164" fontId="1" fillId="0" borderId="4" xfId="0" applyNumberFormat="1" applyFont="1" applyFill="1" applyBorder="1" applyAlignment="1">
      <alignment/>
    </xf>
    <xf numFmtId="0" fontId="0" fillId="0" borderId="33" xfId="0" applyFont="1" applyBorder="1" applyAlignment="1">
      <alignment/>
    </xf>
    <xf numFmtId="164" fontId="1" fillId="0" borderId="66" xfId="0" applyNumberFormat="1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49" fontId="1" fillId="0" borderId="32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/>
    </xf>
    <xf numFmtId="49" fontId="1" fillId="0" borderId="13" xfId="0" applyNumberFormat="1" applyFont="1" applyFill="1" applyBorder="1" applyAlignment="1">
      <alignment/>
    </xf>
    <xf numFmtId="164" fontId="18" fillId="0" borderId="0" xfId="0" applyNumberFormat="1" applyFont="1" applyAlignment="1">
      <alignment/>
    </xf>
    <xf numFmtId="0" fontId="1" fillId="0" borderId="32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0" fillId="0" borderId="0" xfId="0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0" fillId="0" borderId="68" xfId="0" applyNumberFormat="1" applyFont="1" applyBorder="1" applyAlignment="1">
      <alignment/>
    </xf>
    <xf numFmtId="164" fontId="1" fillId="0" borderId="0" xfId="0" applyNumberFormat="1" applyFont="1" applyAlignment="1">
      <alignment horizontal="right"/>
    </xf>
    <xf numFmtId="49" fontId="1" fillId="0" borderId="36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49" fontId="1" fillId="0" borderId="33" xfId="0" applyNumberFormat="1" applyFont="1" applyBorder="1" applyAlignment="1">
      <alignment horizontal="right"/>
    </xf>
    <xf numFmtId="165" fontId="1" fillId="0" borderId="35" xfId="0" applyNumberFormat="1" applyFont="1" applyFill="1" applyBorder="1" applyAlignment="1">
      <alignment/>
    </xf>
    <xf numFmtId="0" fontId="1" fillId="0" borderId="67" xfId="0" applyFont="1" applyBorder="1" applyAlignment="1">
      <alignment horizontal="center"/>
    </xf>
    <xf numFmtId="164" fontId="2" fillId="0" borderId="67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49" fontId="2" fillId="0" borderId="32" xfId="0" applyNumberFormat="1" applyFont="1" applyBorder="1" applyAlignment="1">
      <alignment/>
    </xf>
    <xf numFmtId="164" fontId="9" fillId="0" borderId="25" xfId="0" applyNumberFormat="1" applyFont="1" applyFill="1" applyBorder="1" applyAlignment="1">
      <alignment/>
    </xf>
    <xf numFmtId="164" fontId="1" fillId="0" borderId="36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8" fillId="0" borderId="1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9" fillId="0" borderId="0" xfId="0" applyNumberFormat="1" applyFont="1" applyFill="1" applyBorder="1" applyAlignment="1">
      <alignment/>
    </xf>
    <xf numFmtId="164" fontId="0" fillId="0" borderId="9" xfId="0" applyNumberFormat="1" applyFont="1" applyBorder="1" applyAlignment="1">
      <alignment/>
    </xf>
    <xf numFmtId="164" fontId="0" fillId="0" borderId="35" xfId="0" applyNumberFormat="1" applyFont="1" applyBorder="1" applyAlignment="1">
      <alignment/>
    </xf>
    <xf numFmtId="164" fontId="0" fillId="0" borderId="3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7" fillId="0" borderId="9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0" fillId="0" borderId="31" xfId="0" applyFont="1" applyBorder="1" applyAlignment="1">
      <alignment/>
    </xf>
    <xf numFmtId="49" fontId="7" fillId="0" borderId="9" xfId="0" applyNumberFormat="1" applyFont="1" applyFill="1" applyBorder="1" applyAlignment="1">
      <alignment/>
    </xf>
    <xf numFmtId="49" fontId="1" fillId="0" borderId="9" xfId="0" applyNumberFormat="1" applyFont="1" applyFill="1" applyBorder="1" applyAlignment="1">
      <alignment/>
    </xf>
    <xf numFmtId="0" fontId="16" fillId="0" borderId="36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32" xfId="0" applyFont="1" applyFill="1" applyBorder="1" applyAlignment="1">
      <alignment/>
    </xf>
    <xf numFmtId="0" fontId="16" fillId="0" borderId="8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1" fillId="0" borderId="33" xfId="0" applyFont="1" applyBorder="1" applyAlignment="1">
      <alignment/>
    </xf>
    <xf numFmtId="49" fontId="1" fillId="0" borderId="35" xfId="0" applyNumberFormat="1" applyFont="1" applyFill="1" applyBorder="1" applyAlignment="1">
      <alignment/>
    </xf>
    <xf numFmtId="3" fontId="1" fillId="0" borderId="69" xfId="0" applyNumberFormat="1" applyFont="1" applyFill="1" applyBorder="1" applyAlignment="1">
      <alignment/>
    </xf>
    <xf numFmtId="0" fontId="1" fillId="0" borderId="69" xfId="0" applyFont="1" applyFill="1" applyBorder="1" applyAlignment="1">
      <alignment/>
    </xf>
    <xf numFmtId="0" fontId="16" fillId="0" borderId="33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34" xfId="0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1" xfId="0" applyNumberFormat="1" applyFont="1" applyBorder="1" applyAlignment="1">
      <alignment/>
    </xf>
    <xf numFmtId="0" fontId="0" fillId="0" borderId="9" xfId="0" applyFont="1" applyBorder="1" applyAlignment="1">
      <alignment/>
    </xf>
    <xf numFmtId="165" fontId="1" fillId="0" borderId="31" xfId="0" applyNumberFormat="1" applyFont="1" applyBorder="1" applyAlignment="1">
      <alignment/>
    </xf>
    <xf numFmtId="165" fontId="2" fillId="0" borderId="7" xfId="0" applyNumberFormat="1" applyFont="1" applyFill="1" applyBorder="1" applyAlignment="1">
      <alignment/>
    </xf>
    <xf numFmtId="49" fontId="1" fillId="0" borderId="79" xfId="0" applyNumberFormat="1" applyFont="1" applyBorder="1" applyAlignment="1">
      <alignment horizontal="right"/>
    </xf>
    <xf numFmtId="49" fontId="1" fillId="0" borderId="80" xfId="0" applyNumberFormat="1" applyFont="1" applyFill="1" applyBorder="1" applyAlignment="1">
      <alignment/>
    </xf>
    <xf numFmtId="49" fontId="9" fillId="0" borderId="71" xfId="0" applyNumberFormat="1" applyFont="1" applyFill="1" applyBorder="1" applyAlignment="1">
      <alignment/>
    </xf>
    <xf numFmtId="164" fontId="0" fillId="0" borderId="83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/>
    </xf>
    <xf numFmtId="165" fontId="2" fillId="0" borderId="34" xfId="0" applyNumberFormat="1" applyFont="1" applyFill="1" applyBorder="1" applyAlignment="1">
      <alignment/>
    </xf>
    <xf numFmtId="165" fontId="2" fillId="0" borderId="35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0" fontId="20" fillId="0" borderId="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left"/>
    </xf>
    <xf numFmtId="0" fontId="21" fillId="0" borderId="3" xfId="0" applyFont="1" applyFill="1" applyBorder="1" applyAlignment="1">
      <alignment/>
    </xf>
    <xf numFmtId="0" fontId="21" fillId="0" borderId="5" xfId="0" applyFont="1" applyFill="1" applyBorder="1" applyAlignment="1">
      <alignment/>
    </xf>
    <xf numFmtId="0" fontId="20" fillId="0" borderId="7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9" xfId="0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68" xfId="0" applyFont="1" applyBorder="1" applyAlignment="1">
      <alignment/>
    </xf>
    <xf numFmtId="0" fontId="19" fillId="0" borderId="2" xfId="0" applyFont="1" applyFill="1" applyBorder="1" applyAlignment="1">
      <alignment/>
    </xf>
    <xf numFmtId="0" fontId="19" fillId="0" borderId="3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19" fillId="0" borderId="8" xfId="0" applyFont="1" applyFill="1" applyBorder="1" applyAlignment="1">
      <alignment/>
    </xf>
    <xf numFmtId="0" fontId="19" fillId="0" borderId="5" xfId="0" applyFont="1" applyFill="1" applyBorder="1" applyAlignment="1">
      <alignment/>
    </xf>
    <xf numFmtId="164" fontId="19" fillId="0" borderId="8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right"/>
    </xf>
    <xf numFmtId="0" fontId="19" fillId="0" borderId="9" xfId="0" applyFont="1" applyFill="1" applyBorder="1" applyAlignment="1">
      <alignment/>
    </xf>
    <xf numFmtId="165" fontId="19" fillId="0" borderId="8" xfId="0" applyNumberFormat="1" applyFont="1" applyFill="1" applyBorder="1" applyAlignment="1">
      <alignment/>
    </xf>
    <xf numFmtId="166" fontId="1" fillId="0" borderId="31" xfId="0" applyNumberFormat="1" applyFont="1" applyBorder="1" applyAlignment="1">
      <alignment/>
    </xf>
    <xf numFmtId="0" fontId="19" fillId="0" borderId="7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165" fontId="19" fillId="0" borderId="17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" fillId="0" borderId="88" xfId="0" applyFont="1" applyBorder="1" applyAlignment="1">
      <alignment/>
    </xf>
    <xf numFmtId="164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/>
    </xf>
    <xf numFmtId="164" fontId="2" fillId="0" borderId="67" xfId="0" applyNumberFormat="1" applyFont="1" applyBorder="1" applyAlignment="1">
      <alignment horizontal="center"/>
    </xf>
    <xf numFmtId="164" fontId="2" fillId="0" borderId="67" xfId="0" applyNumberFormat="1" applyFont="1" applyBorder="1" applyAlignment="1">
      <alignment horizontal="center" wrapText="1"/>
    </xf>
    <xf numFmtId="164" fontId="2" fillId="0" borderId="66" xfId="0" applyNumberFormat="1" applyFont="1" applyBorder="1" applyAlignment="1">
      <alignment horizontal="center" vertical="center" wrapText="1"/>
    </xf>
    <xf numFmtId="164" fontId="2" fillId="0" borderId="69" xfId="0" applyNumberFormat="1" applyFont="1" applyBorder="1" applyAlignment="1">
      <alignment horizontal="center" vertical="center" wrapText="1"/>
    </xf>
    <xf numFmtId="164" fontId="2" fillId="0" borderId="69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89" xfId="0" applyNumberFormat="1" applyFont="1" applyBorder="1" applyAlignment="1">
      <alignment horizontal="center" vertical="center"/>
    </xf>
    <xf numFmtId="164" fontId="2" fillId="0" borderId="61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88" xfId="0" applyNumberFormat="1" applyFont="1" applyBorder="1" applyAlignment="1">
      <alignment horizontal="center" vertical="center" wrapText="1"/>
    </xf>
    <xf numFmtId="164" fontId="2" fillId="0" borderId="65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left" vertical="top" wrapText="1"/>
    </xf>
    <xf numFmtId="164" fontId="9" fillId="0" borderId="88" xfId="0" applyNumberFormat="1" applyFont="1" applyBorder="1" applyAlignment="1">
      <alignment vertical="center" wrapText="1"/>
    </xf>
    <xf numFmtId="164" fontId="0" fillId="2" borderId="17" xfId="0" applyNumberFormat="1" applyFont="1" applyFill="1" applyBorder="1" applyAlignment="1" applyProtection="1">
      <alignment vertical="center" wrapText="1"/>
      <protection/>
    </xf>
    <xf numFmtId="164" fontId="0" fillId="2" borderId="15" xfId="0" applyNumberFormat="1" applyFont="1" applyFill="1" applyBorder="1" applyAlignment="1" applyProtection="1">
      <alignment vertical="center" wrapText="1"/>
      <protection/>
    </xf>
    <xf numFmtId="164" fontId="0" fillId="0" borderId="1" xfId="0" applyNumberFormat="1" applyFont="1" applyBorder="1" applyAlignment="1" applyProtection="1">
      <alignment vertical="center" wrapText="1"/>
      <protection/>
    </xf>
    <xf numFmtId="164" fontId="0" fillId="0" borderId="90" xfId="0" applyNumberFormat="1" applyFont="1" applyBorder="1" applyAlignment="1" applyProtection="1">
      <alignment vertical="center" wrapText="1"/>
      <protection/>
    </xf>
    <xf numFmtId="164" fontId="0" fillId="0" borderId="17" xfId="0" applyNumberFormat="1" applyFont="1" applyBorder="1" applyAlignment="1" applyProtection="1">
      <alignment vertical="center" wrapText="1"/>
      <protection/>
    </xf>
    <xf numFmtId="164" fontId="0" fillId="0" borderId="18" xfId="0" applyNumberFormat="1" applyFont="1" applyBorder="1" applyAlignment="1" applyProtection="1">
      <alignment vertical="center" wrapText="1"/>
      <protection/>
    </xf>
    <xf numFmtId="164" fontId="0" fillId="0" borderId="1" xfId="0" applyNumberFormat="1" applyFont="1" applyBorder="1" applyAlignment="1">
      <alignment vertical="center" wrapText="1"/>
    </xf>
    <xf numFmtId="164" fontId="8" fillId="0" borderId="91" xfId="0" applyNumberFormat="1" applyFont="1" applyBorder="1" applyAlignment="1">
      <alignment horizontal="left" vertical="top" wrapText="1"/>
    </xf>
    <xf numFmtId="164" fontId="1" fillId="0" borderId="92" xfId="0" applyNumberFormat="1" applyFont="1" applyBorder="1" applyAlignment="1" applyProtection="1">
      <alignment vertical="center" wrapText="1"/>
      <protection locked="0"/>
    </xf>
    <xf numFmtId="167" fontId="0" fillId="0" borderId="37" xfId="0" applyNumberFormat="1" applyFont="1" applyBorder="1" applyAlignment="1" applyProtection="1">
      <alignment vertical="center" wrapText="1"/>
      <protection locked="0"/>
    </xf>
    <xf numFmtId="167" fontId="0" fillId="0" borderId="44" xfId="0" applyNumberFormat="1" applyFont="1" applyBorder="1" applyAlignment="1" applyProtection="1">
      <alignment vertical="center" wrapText="1"/>
      <protection locked="0"/>
    </xf>
    <xf numFmtId="164" fontId="0" fillId="0" borderId="93" xfId="0" applyNumberFormat="1" applyFont="1" applyBorder="1" applyAlignment="1" applyProtection="1">
      <alignment vertical="center" wrapText="1"/>
      <protection locked="0"/>
    </xf>
    <xf numFmtId="164" fontId="0" fillId="0" borderId="38" xfId="0" applyNumberFormat="1" applyFont="1" applyBorder="1" applyAlignment="1" applyProtection="1">
      <alignment vertical="center" wrapText="1"/>
      <protection locked="0"/>
    </xf>
    <xf numFmtId="164" fontId="0" fillId="0" borderId="37" xfId="0" applyNumberFormat="1" applyFont="1" applyBorder="1" applyAlignment="1" applyProtection="1">
      <alignment vertical="center" wrapText="1"/>
      <protection locked="0"/>
    </xf>
    <xf numFmtId="164" fontId="0" fillId="0" borderId="41" xfId="0" applyNumberFormat="1" applyFont="1" applyBorder="1" applyAlignment="1" applyProtection="1">
      <alignment vertical="center" wrapText="1"/>
      <protection locked="0"/>
    </xf>
    <xf numFmtId="164" fontId="0" fillId="0" borderId="93" xfId="0" applyNumberFormat="1" applyFont="1" applyBorder="1" applyAlignment="1">
      <alignment vertical="center" wrapText="1"/>
    </xf>
    <xf numFmtId="164" fontId="9" fillId="0" borderId="88" xfId="0" applyNumberFormat="1" applyFont="1" applyBorder="1" applyAlignment="1" applyProtection="1">
      <alignment vertical="center" wrapText="1"/>
      <protection locked="0"/>
    </xf>
    <xf numFmtId="164" fontId="1" fillId="0" borderId="1" xfId="0" applyNumberFormat="1" applyFont="1" applyBorder="1" applyAlignment="1" applyProtection="1">
      <alignment vertical="center" wrapText="1"/>
      <protection/>
    </xf>
    <xf numFmtId="164" fontId="1" fillId="0" borderId="17" xfId="0" applyNumberFormat="1" applyFont="1" applyBorder="1" applyAlignment="1" applyProtection="1">
      <alignment vertical="center" wrapText="1"/>
      <protection/>
    </xf>
    <xf numFmtId="164" fontId="1" fillId="0" borderId="88" xfId="0" applyNumberFormat="1" applyFont="1" applyBorder="1" applyAlignment="1" applyProtection="1">
      <alignment vertical="center" wrapText="1"/>
      <protection/>
    </xf>
    <xf numFmtId="164" fontId="1" fillId="0" borderId="1" xfId="0" applyNumberFormat="1" applyFont="1" applyBorder="1" applyAlignment="1">
      <alignment vertical="center" wrapText="1"/>
    </xf>
    <xf numFmtId="49" fontId="1" fillId="0" borderId="7" xfId="0" applyNumberFormat="1" applyFont="1" applyBorder="1" applyAlignment="1">
      <alignment horizontal="left" vertical="center" wrapText="1"/>
    </xf>
    <xf numFmtId="164" fontId="1" fillId="0" borderId="31" xfId="0" applyNumberFormat="1" applyFont="1" applyBorder="1" applyAlignment="1">
      <alignment vertical="center" wrapText="1"/>
    </xf>
    <xf numFmtId="167" fontId="1" fillId="0" borderId="8" xfId="0" applyNumberFormat="1" applyFont="1" applyBorder="1" applyAlignment="1" applyProtection="1">
      <alignment vertical="center" wrapText="1"/>
      <protection locked="0"/>
    </xf>
    <xf numFmtId="167" fontId="1" fillId="0" borderId="0" xfId="0" applyNumberFormat="1" applyFont="1" applyBorder="1" applyAlignment="1" applyProtection="1">
      <alignment vertical="center" wrapText="1"/>
      <protection locked="0"/>
    </xf>
    <xf numFmtId="164" fontId="1" fillId="0" borderId="27" xfId="0" applyNumberFormat="1" applyFont="1" applyBorder="1" applyAlignment="1" applyProtection="1">
      <alignment vertical="center" wrapText="1"/>
      <protection locked="0"/>
    </xf>
    <xf numFmtId="164" fontId="1" fillId="0" borderId="32" xfId="0" applyNumberFormat="1" applyFont="1" applyBorder="1" applyAlignment="1" applyProtection="1">
      <alignment vertical="center" wrapText="1"/>
      <protection locked="0"/>
    </xf>
    <xf numFmtId="164" fontId="1" fillId="0" borderId="8" xfId="0" applyNumberFormat="1" applyFont="1" applyBorder="1" applyAlignment="1" applyProtection="1">
      <alignment vertical="center" wrapText="1"/>
      <protection locked="0"/>
    </xf>
    <xf numFmtId="164" fontId="1" fillId="0" borderId="31" xfId="0" applyNumberFormat="1" applyFont="1" applyBorder="1" applyAlignment="1" applyProtection="1">
      <alignment vertical="center" wrapText="1"/>
      <protection locked="0"/>
    </xf>
    <xf numFmtId="164" fontId="1" fillId="0" borderId="27" xfId="0" applyNumberFormat="1" applyFont="1" applyBorder="1" applyAlignment="1">
      <alignment vertical="center" wrapText="1"/>
    </xf>
    <xf numFmtId="164" fontId="8" fillId="0" borderId="91" xfId="0" applyNumberFormat="1" applyFont="1" applyBorder="1" applyAlignment="1">
      <alignment horizontal="center" vertical="center" wrapText="1"/>
    </xf>
    <xf numFmtId="164" fontId="0" fillId="0" borderId="92" xfId="0" applyNumberFormat="1" applyFont="1" applyBorder="1" applyAlignment="1" applyProtection="1">
      <alignment vertical="center" wrapText="1"/>
      <protection locked="0"/>
    </xf>
    <xf numFmtId="164" fontId="9" fillId="0" borderId="88" xfId="0" applyNumberFormat="1" applyFont="1" applyBorder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>
      <alignment horizontal="left" vertical="center" wrapText="1"/>
    </xf>
    <xf numFmtId="164" fontId="1" fillId="0" borderId="26" xfId="0" applyNumberFormat="1" applyFont="1" applyBorder="1" applyAlignment="1" applyProtection="1">
      <alignment horizontal="left" vertical="center" wrapText="1"/>
      <protection locked="0"/>
    </xf>
    <xf numFmtId="164" fontId="1" fillId="0" borderId="4" xfId="0" applyNumberFormat="1" applyFont="1" applyFill="1" applyBorder="1" applyAlignment="1" applyProtection="1">
      <alignment vertical="center" wrapText="1"/>
      <protection/>
    </xf>
    <xf numFmtId="164" fontId="1" fillId="0" borderId="3" xfId="0" applyNumberFormat="1" applyFont="1" applyFill="1" applyBorder="1" applyAlignment="1" applyProtection="1">
      <alignment vertical="center" wrapText="1"/>
      <protection/>
    </xf>
    <xf numFmtId="164" fontId="1" fillId="0" borderId="67" xfId="0" applyNumberFormat="1" applyFont="1" applyBorder="1" applyAlignment="1" applyProtection="1">
      <alignment vertical="center" wrapText="1"/>
      <protection/>
    </xf>
    <xf numFmtId="164" fontId="1" fillId="0" borderId="5" xfId="0" applyNumberFormat="1" applyFont="1" applyBorder="1" applyAlignment="1" applyProtection="1">
      <alignment vertical="center" wrapText="1"/>
      <protection/>
    </xf>
    <xf numFmtId="164" fontId="1" fillId="0" borderId="4" xfId="0" applyNumberFormat="1" applyFont="1" applyBorder="1" applyAlignment="1" applyProtection="1">
      <alignment vertical="center" wrapText="1"/>
      <protection/>
    </xf>
    <xf numFmtId="164" fontId="1" fillId="0" borderId="4" xfId="0" applyNumberFormat="1" applyFont="1" applyBorder="1" applyAlignment="1" applyProtection="1">
      <alignment horizontal="right" vertical="center" wrapText="1"/>
      <protection/>
    </xf>
    <xf numFmtId="164" fontId="1" fillId="0" borderId="26" xfId="0" applyNumberFormat="1" applyFont="1" applyBorder="1" applyAlignment="1" applyProtection="1">
      <alignment horizontal="right" vertical="center" wrapText="1"/>
      <protection/>
    </xf>
    <xf numFmtId="164" fontId="1" fillId="0" borderId="67" xfId="0" applyNumberFormat="1" applyFont="1" applyBorder="1" applyAlignment="1">
      <alignment vertical="center" wrapText="1"/>
    </xf>
    <xf numFmtId="49" fontId="8" fillId="0" borderId="94" xfId="0" applyNumberFormat="1" applyFont="1" applyBorder="1" applyAlignment="1">
      <alignment horizontal="center" vertical="center" wrapText="1"/>
    </xf>
    <xf numFmtId="164" fontId="1" fillId="0" borderId="58" xfId="0" applyNumberFormat="1" applyFont="1" applyFill="1" applyBorder="1" applyAlignment="1" applyProtection="1">
      <alignment vertical="center" wrapText="1"/>
      <protection/>
    </xf>
    <xf numFmtId="164" fontId="1" fillId="0" borderId="59" xfId="0" applyNumberFormat="1" applyFont="1" applyFill="1" applyBorder="1" applyAlignment="1" applyProtection="1">
      <alignment vertical="center" wrapText="1"/>
      <protection/>
    </xf>
    <xf numFmtId="164" fontId="1" fillId="0" borderId="95" xfId="0" applyNumberFormat="1" applyFont="1" applyBorder="1" applyAlignment="1" applyProtection="1">
      <alignment vertical="center" wrapText="1"/>
      <protection/>
    </xf>
    <xf numFmtId="164" fontId="1" fillId="0" borderId="60" xfId="0" applyNumberFormat="1" applyFont="1" applyBorder="1" applyAlignment="1" applyProtection="1">
      <alignment vertical="center" wrapText="1"/>
      <protection/>
    </xf>
    <xf numFmtId="164" fontId="1" fillId="0" borderId="58" xfId="0" applyNumberFormat="1" applyFont="1" applyBorder="1" applyAlignment="1" applyProtection="1">
      <alignment vertical="center" wrapText="1"/>
      <protection/>
    </xf>
    <xf numFmtId="164" fontId="1" fillId="0" borderId="96" xfId="0" applyNumberFormat="1" applyFont="1" applyBorder="1" applyAlignment="1" applyProtection="1">
      <alignment vertical="center" wrapText="1"/>
      <protection/>
    </xf>
    <xf numFmtId="164" fontId="1" fillId="0" borderId="95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left" vertical="top" wrapText="1"/>
    </xf>
    <xf numFmtId="164" fontId="1" fillId="0" borderId="90" xfId="0" applyNumberFormat="1" applyFont="1" applyBorder="1" applyAlignment="1" applyProtection="1">
      <alignment vertical="center" wrapText="1"/>
      <protection/>
    </xf>
    <xf numFmtId="164" fontId="1" fillId="0" borderId="18" xfId="0" applyNumberFormat="1" applyFont="1" applyBorder="1" applyAlignment="1" applyProtection="1">
      <alignment vertical="center" wrapText="1"/>
      <protection/>
    </xf>
    <xf numFmtId="49" fontId="1" fillId="0" borderId="97" xfId="0" applyNumberFormat="1" applyFont="1" applyBorder="1" applyAlignment="1">
      <alignment horizontal="left" vertical="center" wrapText="1"/>
    </xf>
    <xf numFmtId="164" fontId="1" fillId="0" borderId="98" xfId="0" applyNumberFormat="1" applyFont="1" applyBorder="1" applyAlignment="1" applyProtection="1">
      <alignment vertical="center" wrapText="1"/>
      <protection locked="0"/>
    </xf>
    <xf numFmtId="164" fontId="1" fillId="0" borderId="54" xfId="0" applyNumberFormat="1" applyFont="1" applyFill="1" applyBorder="1" applyAlignment="1" applyProtection="1">
      <alignment vertical="center" wrapText="1"/>
      <protection/>
    </xf>
    <xf numFmtId="164" fontId="1" fillId="0" borderId="98" xfId="0" applyNumberFormat="1" applyFont="1" applyFill="1" applyBorder="1" applyAlignment="1" applyProtection="1">
      <alignment vertical="center" wrapText="1"/>
      <protection/>
    </xf>
    <xf numFmtId="164" fontId="1" fillId="0" borderId="24" xfId="0" applyNumberFormat="1" applyFont="1" applyBorder="1" applyAlignment="1" applyProtection="1">
      <alignment horizontal="right" vertical="center" wrapText="1"/>
      <protection/>
    </xf>
    <xf numFmtId="164" fontId="1" fillId="0" borderId="55" xfId="0" applyNumberFormat="1" applyFont="1" applyBorder="1" applyAlignment="1" applyProtection="1">
      <alignment horizontal="right" vertical="center" wrapText="1"/>
      <protection/>
    </xf>
    <xf numFmtId="164" fontId="1" fillId="0" borderId="56" xfId="0" applyNumberFormat="1" applyFont="1" applyBorder="1" applyAlignment="1" applyProtection="1">
      <alignment horizontal="right" vertical="center" wrapText="1"/>
      <protection/>
    </xf>
    <xf numFmtId="164" fontId="1" fillId="0" borderId="99" xfId="0" applyNumberFormat="1" applyFont="1" applyBorder="1" applyAlignment="1" applyProtection="1">
      <alignment vertical="center" wrapText="1"/>
      <protection/>
    </xf>
    <xf numFmtId="164" fontId="1" fillId="0" borderId="100" xfId="0" applyNumberFormat="1" applyFont="1" applyBorder="1" applyAlignment="1" applyProtection="1">
      <alignment vertical="center" wrapText="1"/>
      <protection/>
    </xf>
    <xf numFmtId="164" fontId="1" fillId="0" borderId="24" xfId="0" applyNumberFormat="1" applyFont="1" applyBorder="1" applyAlignment="1">
      <alignment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64" fontId="1" fillId="0" borderId="11" xfId="0" applyNumberFormat="1" applyFont="1" applyFill="1" applyBorder="1" applyAlignment="1" applyProtection="1">
      <alignment vertical="center" wrapText="1"/>
      <protection/>
    </xf>
    <xf numFmtId="164" fontId="1" fillId="0" borderId="34" xfId="0" applyNumberFormat="1" applyFont="1" applyFill="1" applyBorder="1" applyAlignment="1" applyProtection="1">
      <alignment vertical="center" wrapText="1"/>
      <protection/>
    </xf>
    <xf numFmtId="164" fontId="1" fillId="0" borderId="69" xfId="0" applyNumberFormat="1" applyFont="1" applyBorder="1" applyAlignment="1" applyProtection="1">
      <alignment vertical="center" wrapText="1"/>
      <protection/>
    </xf>
    <xf numFmtId="164" fontId="1" fillId="0" borderId="35" xfId="0" applyNumberFormat="1" applyFont="1" applyBorder="1" applyAlignment="1" applyProtection="1">
      <alignment vertical="center" wrapText="1"/>
      <protection/>
    </xf>
    <xf numFmtId="164" fontId="1" fillId="0" borderId="11" xfId="0" applyNumberFormat="1" applyFont="1" applyBorder="1" applyAlignment="1" applyProtection="1">
      <alignment vertical="center" wrapText="1"/>
      <protection/>
    </xf>
    <xf numFmtId="164" fontId="1" fillId="0" borderId="66" xfId="0" applyNumberFormat="1" applyFont="1" applyBorder="1" applyAlignment="1" applyProtection="1">
      <alignment vertical="center" wrapText="1"/>
      <protection/>
    </xf>
    <xf numFmtId="164" fontId="1" fillId="0" borderId="12" xfId="0" applyNumberFormat="1" applyFont="1" applyBorder="1" applyAlignment="1" applyProtection="1">
      <alignment vertical="center" wrapText="1"/>
      <protection/>
    </xf>
    <xf numFmtId="164" fontId="1" fillId="0" borderId="69" xfId="0" applyNumberFormat="1" applyFont="1" applyBorder="1" applyAlignment="1">
      <alignment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164" fontId="1" fillId="0" borderId="101" xfId="0" applyNumberFormat="1" applyFont="1" applyBorder="1" applyAlignment="1" applyProtection="1">
      <alignment vertical="center" wrapText="1"/>
      <protection locked="0"/>
    </xf>
    <xf numFmtId="164" fontId="0" fillId="0" borderId="8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ont="1" applyFill="1" applyBorder="1" applyAlignment="1" applyProtection="1">
      <alignment vertical="center" wrapText="1"/>
      <protection/>
    </xf>
    <xf numFmtId="164" fontId="0" fillId="0" borderId="27" xfId="0" applyNumberFormat="1" applyFont="1" applyBorder="1" applyAlignment="1" applyProtection="1">
      <alignment vertical="center" wrapText="1"/>
      <protection/>
    </xf>
    <xf numFmtId="164" fontId="0" fillId="0" borderId="32" xfId="0" applyNumberFormat="1" applyFont="1" applyBorder="1" applyAlignment="1" applyProtection="1">
      <alignment vertical="center" wrapText="1"/>
      <protection/>
    </xf>
    <xf numFmtId="164" fontId="0" fillId="0" borderId="8" xfId="0" applyNumberFormat="1" applyFont="1" applyBorder="1" applyAlignment="1" applyProtection="1">
      <alignment vertical="center" wrapText="1"/>
      <protection/>
    </xf>
    <xf numFmtId="164" fontId="0" fillId="0" borderId="10" xfId="0" applyNumberFormat="1" applyFont="1" applyBorder="1" applyAlignment="1" applyProtection="1">
      <alignment vertical="center" wrapText="1"/>
      <protection/>
    </xf>
    <xf numFmtId="164" fontId="0" fillId="0" borderId="27" xfId="0" applyNumberFormat="1" applyFont="1" applyBorder="1" applyAlignment="1">
      <alignment vertical="center" wrapText="1"/>
    </xf>
    <xf numFmtId="164" fontId="1" fillId="0" borderId="96" xfId="0" applyNumberFormat="1" applyFont="1" applyBorder="1" applyAlignment="1" applyProtection="1">
      <alignment vertical="center" wrapText="1"/>
      <protection locked="0"/>
    </xf>
    <xf numFmtId="167" fontId="0" fillId="0" borderId="58" xfId="0" applyNumberFormat="1" applyFont="1" applyBorder="1" applyAlignment="1" applyProtection="1">
      <alignment vertical="center" wrapText="1"/>
      <protection locked="0"/>
    </xf>
    <xf numFmtId="167" fontId="0" fillId="0" borderId="59" xfId="0" applyNumberFormat="1" applyFont="1" applyBorder="1" applyAlignment="1" applyProtection="1">
      <alignment vertical="center" wrapText="1"/>
      <protection locked="0"/>
    </xf>
    <xf numFmtId="164" fontId="0" fillId="0" borderId="95" xfId="0" applyNumberFormat="1" applyFont="1" applyBorder="1" applyAlignment="1" applyProtection="1">
      <alignment vertical="center" wrapText="1"/>
      <protection locked="0"/>
    </xf>
    <xf numFmtId="164" fontId="0" fillId="0" borderId="57" xfId="0" applyNumberFormat="1" applyFont="1" applyBorder="1" applyAlignment="1" applyProtection="1">
      <alignment vertical="center" wrapText="1"/>
      <protection locked="0"/>
    </xf>
    <xf numFmtId="164" fontId="0" fillId="0" borderId="58" xfId="0" applyNumberFormat="1" applyFont="1" applyBorder="1" applyAlignment="1" applyProtection="1">
      <alignment vertical="center" wrapText="1"/>
      <protection locked="0"/>
    </xf>
    <xf numFmtId="164" fontId="0" fillId="0" borderId="61" xfId="0" applyNumberFormat="1" applyFont="1" applyBorder="1" applyAlignment="1" applyProtection="1">
      <alignment vertical="center" wrapText="1"/>
      <protection locked="0"/>
    </xf>
    <xf numFmtId="164" fontId="0" fillId="0" borderId="95" xfId="0" applyNumberFormat="1" applyFont="1" applyBorder="1" applyAlignment="1">
      <alignment vertical="center" wrapText="1"/>
    </xf>
    <xf numFmtId="49" fontId="8" fillId="0" borderId="91" xfId="0" applyNumberFormat="1" applyFont="1" applyBorder="1" applyAlignment="1">
      <alignment horizontal="center" vertical="center" wrapText="1"/>
    </xf>
    <xf numFmtId="164" fontId="0" fillId="2" borderId="65" xfId="0" applyNumberFormat="1" applyFont="1" applyFill="1" applyBorder="1" applyAlignment="1" applyProtection="1">
      <alignment vertical="center" wrapText="1"/>
      <protection/>
    </xf>
    <xf numFmtId="164" fontId="9" fillId="0" borderId="1" xfId="0" applyNumberFormat="1" applyFont="1" applyBorder="1" applyAlignment="1" applyProtection="1">
      <alignment vertical="center" wrapText="1"/>
      <protection/>
    </xf>
    <xf numFmtId="164" fontId="9" fillId="0" borderId="90" xfId="0" applyNumberFormat="1" applyFont="1" applyBorder="1" applyAlignment="1" applyProtection="1">
      <alignment vertical="center" wrapText="1"/>
      <protection/>
    </xf>
    <xf numFmtId="164" fontId="9" fillId="0" borderId="17" xfId="0" applyNumberFormat="1" applyFont="1" applyBorder="1" applyAlignment="1" applyProtection="1">
      <alignment vertical="center" wrapText="1"/>
      <protection/>
    </xf>
    <xf numFmtId="164" fontId="9" fillId="0" borderId="18" xfId="0" applyNumberFormat="1" applyFont="1" applyBorder="1" applyAlignment="1" applyProtection="1">
      <alignment vertical="center" wrapText="1"/>
      <protection/>
    </xf>
    <xf numFmtId="164" fontId="9" fillId="0" borderId="1" xfId="0" applyNumberFormat="1" applyFont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8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2" fillId="0" borderId="67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horizontal="center" wrapText="1"/>
    </xf>
    <xf numFmtId="164" fontId="2" fillId="0" borderId="69" xfId="0" applyNumberFormat="1" applyFont="1" applyBorder="1" applyAlignment="1">
      <alignment horizontal="center" vertical="top"/>
    </xf>
    <xf numFmtId="164" fontId="2" fillId="0" borderId="66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1" fillId="3" borderId="16" xfId="0" applyNumberFormat="1" applyFont="1" applyFill="1" applyBorder="1" applyAlignment="1">
      <alignment vertical="center" wrapText="1"/>
    </xf>
    <xf numFmtId="164" fontId="2" fillId="0" borderId="90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4" fontId="2" fillId="0" borderId="18" xfId="0" applyNumberFormat="1" applyFont="1" applyBorder="1" applyAlignment="1">
      <alignment vertical="center" wrapText="1"/>
    </xf>
    <xf numFmtId="164" fontId="1" fillId="0" borderId="93" xfId="0" applyNumberFormat="1" applyFont="1" applyBorder="1" applyAlignment="1" applyProtection="1">
      <alignment vertical="center" wrapText="1"/>
      <protection locked="0"/>
    </xf>
    <xf numFmtId="167" fontId="1" fillId="0" borderId="93" xfId="0" applyNumberFormat="1" applyFont="1" applyBorder="1" applyAlignment="1" applyProtection="1">
      <alignment vertical="center" wrapText="1"/>
      <protection locked="0"/>
    </xf>
    <xf numFmtId="167" fontId="1" fillId="0" borderId="37" xfId="0" applyNumberFormat="1" applyFont="1" applyBorder="1" applyAlignment="1" applyProtection="1">
      <alignment vertical="center" wrapText="1"/>
      <protection locked="0"/>
    </xf>
    <xf numFmtId="164" fontId="1" fillId="0" borderId="38" xfId="0" applyNumberFormat="1" applyFont="1" applyBorder="1" applyAlignment="1" applyProtection="1">
      <alignment horizontal="right" vertical="center" wrapText="1"/>
      <protection locked="0"/>
    </xf>
    <xf numFmtId="164" fontId="1" fillId="0" borderId="37" xfId="0" applyNumberFormat="1" applyFont="1" applyBorder="1" applyAlignment="1" applyProtection="1">
      <alignment horizontal="right" vertical="center" wrapText="1"/>
      <protection locked="0"/>
    </xf>
    <xf numFmtId="164" fontId="1" fillId="0" borderId="37" xfId="0" applyNumberFormat="1" applyFont="1" applyBorder="1" applyAlignment="1" applyProtection="1">
      <alignment vertical="center" wrapText="1"/>
      <protection locked="0"/>
    </xf>
    <xf numFmtId="164" fontId="1" fillId="0" borderId="41" xfId="0" applyNumberFormat="1" applyFont="1" applyBorder="1" applyAlignment="1" applyProtection="1">
      <alignment vertical="center" wrapText="1"/>
      <protection locked="0"/>
    </xf>
    <xf numFmtId="164" fontId="1" fillId="0" borderId="38" xfId="0" applyNumberFormat="1" applyFont="1" applyBorder="1" applyAlignment="1" applyProtection="1">
      <alignment vertical="center" wrapText="1"/>
      <protection locked="0"/>
    </xf>
    <xf numFmtId="164" fontId="1" fillId="0" borderId="64" xfId="0" applyNumberFormat="1" applyFont="1" applyBorder="1" applyAlignment="1" applyProtection="1">
      <alignment vertical="center" wrapText="1"/>
      <protection locked="0"/>
    </xf>
    <xf numFmtId="164" fontId="2" fillId="0" borderId="65" xfId="0" applyNumberFormat="1" applyFont="1" applyBorder="1" applyAlignment="1">
      <alignment vertical="center" wrapText="1"/>
    </xf>
    <xf numFmtId="164" fontId="1" fillId="0" borderId="43" xfId="0" applyNumberFormat="1" applyFont="1" applyBorder="1" applyAlignment="1" applyProtection="1">
      <alignment vertical="center" wrapText="1"/>
      <protection locked="0"/>
    </xf>
    <xf numFmtId="164" fontId="1" fillId="0" borderId="18" xfId="0" applyNumberFormat="1" applyFont="1" applyBorder="1" applyAlignment="1">
      <alignment vertical="center" wrapText="1"/>
    </xf>
    <xf numFmtId="164" fontId="7" fillId="3" borderId="1" xfId="0" applyNumberFormat="1" applyFont="1" applyFill="1" applyBorder="1" applyAlignment="1">
      <alignment vertical="center" wrapText="1"/>
    </xf>
    <xf numFmtId="164" fontId="7" fillId="3" borderId="16" xfId="0" applyNumberFormat="1" applyFont="1" applyFill="1" applyBorder="1" applyAlignment="1">
      <alignment vertical="center" wrapText="1"/>
    </xf>
    <xf numFmtId="164" fontId="9" fillId="0" borderId="17" xfId="0" applyNumberFormat="1" applyFont="1" applyBorder="1" applyAlignment="1">
      <alignment vertical="center" wrapText="1"/>
    </xf>
    <xf numFmtId="164" fontId="9" fillId="0" borderId="65" xfId="0" applyNumberFormat="1" applyFont="1" applyBorder="1" applyAlignment="1">
      <alignment vertical="center" wrapText="1"/>
    </xf>
    <xf numFmtId="164" fontId="9" fillId="0" borderId="18" xfId="0" applyNumberFormat="1" applyFont="1" applyBorder="1" applyAlignment="1">
      <alignment vertical="center" wrapText="1"/>
    </xf>
    <xf numFmtId="0" fontId="0" fillId="0" borderId="3" xfId="0" applyFont="1" applyFill="1" applyBorder="1" applyAlignment="1">
      <alignment/>
    </xf>
    <xf numFmtId="164" fontId="0" fillId="0" borderId="25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164" fontId="16" fillId="0" borderId="3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164" fontId="0" fillId="0" borderId="8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31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64" fontId="0" fillId="0" borderId="66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34" xfId="0" applyNumberFormat="1" applyFont="1" applyFill="1" applyBorder="1" applyAlignment="1">
      <alignment/>
    </xf>
    <xf numFmtId="164" fontId="0" fillId="0" borderId="68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24" fillId="0" borderId="2" xfId="0" applyFont="1" applyFill="1" applyBorder="1" applyAlignment="1">
      <alignment/>
    </xf>
    <xf numFmtId="0" fontId="24" fillId="0" borderId="3" xfId="0" applyFont="1" applyFill="1" applyBorder="1" applyAlignment="1">
      <alignment/>
    </xf>
    <xf numFmtId="164" fontId="25" fillId="0" borderId="25" xfId="0" applyNumberFormat="1" applyFont="1" applyFill="1" applyBorder="1" applyAlignment="1">
      <alignment/>
    </xf>
    <xf numFmtId="164" fontId="25" fillId="0" borderId="4" xfId="0" applyNumberFormat="1" applyFont="1" applyFill="1" applyBorder="1" applyAlignment="1">
      <alignment/>
    </xf>
    <xf numFmtId="164" fontId="25" fillId="0" borderId="3" xfId="0" applyNumberFormat="1" applyFont="1" applyFill="1" applyBorder="1" applyAlignment="1">
      <alignment/>
    </xf>
    <xf numFmtId="164" fontId="25" fillId="0" borderId="6" xfId="0" applyNumberFormat="1" applyFont="1" applyFill="1" applyBorder="1" applyAlignment="1">
      <alignment/>
    </xf>
    <xf numFmtId="0" fontId="24" fillId="0" borderId="7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64" fontId="25" fillId="0" borderId="8" xfId="0" applyNumberFormat="1" applyFont="1" applyFill="1" applyBorder="1" applyAlignment="1">
      <alignment/>
    </xf>
    <xf numFmtId="164" fontId="25" fillId="0" borderId="0" xfId="0" applyNumberFormat="1" applyFont="1" applyFill="1" applyBorder="1" applyAlignment="1">
      <alignment/>
    </xf>
    <xf numFmtId="164" fontId="25" fillId="0" borderId="13" xfId="0" applyNumberFormat="1" applyFont="1" applyFill="1" applyBorder="1" applyAlignment="1">
      <alignment/>
    </xf>
    <xf numFmtId="164" fontId="25" fillId="0" borderId="10" xfId="0" applyNumberFormat="1" applyFont="1" applyFill="1" applyBorder="1" applyAlignment="1">
      <alignment/>
    </xf>
    <xf numFmtId="0" fontId="26" fillId="0" borderId="7" xfId="0" applyFont="1" applyFill="1" applyBorder="1" applyAlignment="1">
      <alignment/>
    </xf>
    <xf numFmtId="164" fontId="25" fillId="0" borderId="31" xfId="0" applyNumberFormat="1" applyFont="1" applyFill="1" applyBorder="1" applyAlignment="1">
      <alignment/>
    </xf>
    <xf numFmtId="164" fontId="27" fillId="0" borderId="13" xfId="0" applyNumberFormat="1" applyFont="1" applyFill="1" applyBorder="1" applyAlignment="1">
      <alignment/>
    </xf>
    <xf numFmtId="164" fontId="27" fillId="0" borderId="8" xfId="0" applyNumberFormat="1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27" fillId="0" borderId="31" xfId="0" applyNumberFormat="1" applyFont="1" applyFill="1" applyBorder="1" applyAlignment="1">
      <alignment/>
    </xf>
    <xf numFmtId="164" fontId="25" fillId="0" borderId="9" xfId="0" applyNumberFormat="1" applyFont="1" applyFill="1" applyBorder="1" applyAlignment="1">
      <alignment/>
    </xf>
    <xf numFmtId="164" fontId="27" fillId="0" borderId="8" xfId="0" applyNumberFormat="1" applyFont="1" applyFill="1" applyBorder="1" applyAlignment="1">
      <alignment/>
    </xf>
    <xf numFmtId="0" fontId="24" fillId="0" borderId="7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64" fontId="2" fillId="0" borderId="31" xfId="0" applyNumberFormat="1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28" fillId="0" borderId="34" xfId="0" applyFont="1" applyFill="1" applyBorder="1" applyAlignment="1">
      <alignment/>
    </xf>
    <xf numFmtId="164" fontId="25" fillId="0" borderId="11" xfId="0" applyNumberFormat="1" applyFont="1" applyFill="1" applyBorder="1" applyAlignment="1">
      <alignment/>
    </xf>
    <xf numFmtId="164" fontId="25" fillId="0" borderId="35" xfId="0" applyNumberFormat="1" applyFont="1" applyFill="1" applyBorder="1" applyAlignment="1">
      <alignment/>
    </xf>
    <xf numFmtId="164" fontId="25" fillId="0" borderId="6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0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3" fontId="2" fillId="0" borderId="96" xfId="0" applyNumberFormat="1" applyFont="1" applyBorder="1" applyAlignment="1">
      <alignment horizontal="right"/>
    </xf>
    <xf numFmtId="0" fontId="2" fillId="0" borderId="32" xfId="0" applyFont="1" applyBorder="1" applyAlignment="1">
      <alignment/>
    </xf>
    <xf numFmtId="3" fontId="2" fillId="0" borderId="31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3" fontId="19" fillId="0" borderId="31" xfId="0" applyNumberFormat="1" applyFont="1" applyBorder="1" applyAlignment="1">
      <alignment horizontal="right"/>
    </xf>
    <xf numFmtId="3" fontId="20" fillId="0" borderId="31" xfId="0" applyNumberFormat="1" applyFont="1" applyBorder="1" applyAlignment="1">
      <alignment horizontal="right"/>
    </xf>
    <xf numFmtId="0" fontId="19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9" fillId="0" borderId="12" xfId="0" applyFont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 applyProtection="1">
      <alignment vertical="center" wrapText="1"/>
      <protection locked="0"/>
    </xf>
    <xf numFmtId="164" fontId="1" fillId="0" borderId="21" xfId="0" applyNumberFormat="1" applyFont="1" applyBorder="1" applyAlignment="1" applyProtection="1">
      <alignment vertical="center" wrapText="1"/>
      <protection locked="0"/>
    </xf>
    <xf numFmtId="164" fontId="1" fillId="0" borderId="22" xfId="0" applyNumberFormat="1" applyFont="1" applyBorder="1" applyAlignment="1" applyProtection="1">
      <alignment vertical="center" wrapText="1"/>
      <protection locked="0"/>
    </xf>
    <xf numFmtId="0" fontId="2" fillId="0" borderId="11" xfId="0" applyFont="1" applyBorder="1" applyAlignment="1">
      <alignment vertical="center" wrapText="1"/>
    </xf>
    <xf numFmtId="164" fontId="1" fillId="0" borderId="11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 wrapText="1"/>
    </xf>
    <xf numFmtId="0" fontId="29" fillId="0" borderId="7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67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3" fontId="0" fillId="0" borderId="8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68" xfId="0" applyNumberFormat="1" applyFont="1" applyBorder="1" applyAlignment="1">
      <alignment/>
    </xf>
    <xf numFmtId="49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64" fontId="0" fillId="0" borderId="10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 horizontal="left"/>
    </xf>
    <xf numFmtId="0" fontId="29" fillId="0" borderId="9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164" fontId="1" fillId="0" borderId="24" xfId="0" applyNumberFormat="1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 wrapText="1"/>
    </xf>
    <xf numFmtId="0" fontId="19" fillId="0" borderId="102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0" fillId="0" borderId="103" xfId="0" applyFont="1" applyBorder="1" applyAlignment="1">
      <alignment horizontal="center" vertical="center" wrapText="1"/>
    </xf>
    <xf numFmtId="0" fontId="19" fillId="0" borderId="103" xfId="0" applyFont="1" applyFill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/>
    </xf>
    <xf numFmtId="0" fontId="2" fillId="0" borderId="69" xfId="0" applyFont="1" applyBorder="1" applyAlignment="1">
      <alignment horizontal="center" vertical="center" wrapText="1"/>
    </xf>
    <xf numFmtId="0" fontId="2" fillId="0" borderId="69" xfId="0" applyFont="1" applyBorder="1" applyAlignment="1">
      <alignment vertical="center" wrapText="1"/>
    </xf>
    <xf numFmtId="164" fontId="2" fillId="0" borderId="69" xfId="0" applyNumberFormat="1" applyFont="1" applyBorder="1" applyAlignment="1">
      <alignment vertical="center" wrapText="1"/>
    </xf>
    <xf numFmtId="3" fontId="2" fillId="0" borderId="69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67" xfId="0" applyFont="1" applyBorder="1" applyAlignment="1">
      <alignment horizontal="center" vertical="top"/>
    </xf>
    <xf numFmtId="0" fontId="2" fillId="0" borderId="38" xfId="0" applyFont="1" applyBorder="1" applyAlignment="1">
      <alignment/>
    </xf>
    <xf numFmtId="0" fontId="1" fillId="0" borderId="37" xfId="0" applyFont="1" applyBorder="1" applyAlignment="1">
      <alignment/>
    </xf>
    <xf numFmtId="3" fontId="1" fillId="0" borderId="37" xfId="0" applyNumberFormat="1" applyFont="1" applyBorder="1" applyAlignment="1">
      <alignment horizontal="right"/>
    </xf>
    <xf numFmtId="0" fontId="1" fillId="0" borderId="4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41" xfId="0" applyFont="1" applyBorder="1" applyAlignment="1">
      <alignment/>
    </xf>
    <xf numFmtId="0" fontId="30" fillId="0" borderId="38" xfId="0" applyFont="1" applyBorder="1" applyAlignment="1">
      <alignment horizontal="right"/>
    </xf>
    <xf numFmtId="3" fontId="1" fillId="0" borderId="41" xfId="0" applyNumberFormat="1" applyFont="1" applyBorder="1" applyAlignment="1">
      <alignment horizontal="right"/>
    </xf>
    <xf numFmtId="3" fontId="1" fillId="0" borderId="41" xfId="0" applyNumberFormat="1" applyFont="1" applyBorder="1" applyAlignment="1">
      <alignment/>
    </xf>
    <xf numFmtId="0" fontId="2" fillId="0" borderId="38" xfId="0" applyFont="1" applyBorder="1" applyAlignment="1">
      <alignment horizontal="right"/>
    </xf>
    <xf numFmtId="3" fontId="2" fillId="0" borderId="37" xfId="0" applyNumberFormat="1" applyFont="1" applyBorder="1" applyAlignment="1">
      <alignment horizontal="right"/>
    </xf>
    <xf numFmtId="3" fontId="2" fillId="0" borderId="41" xfId="0" applyNumberFormat="1" applyFont="1" applyBorder="1" applyAlignment="1">
      <alignment horizontal="right"/>
    </xf>
    <xf numFmtId="0" fontId="2" fillId="0" borderId="38" xfId="0" applyFont="1" applyBorder="1" applyAlignment="1">
      <alignment horizontal="left"/>
    </xf>
    <xf numFmtId="0" fontId="1" fillId="0" borderId="41" xfId="0" applyFont="1" applyBorder="1" applyAlignment="1">
      <alignment horizontal="right"/>
    </xf>
    <xf numFmtId="0" fontId="1" fillId="0" borderId="28" xfId="0" applyFont="1" applyBorder="1" applyAlignment="1">
      <alignment/>
    </xf>
    <xf numFmtId="3" fontId="6" fillId="0" borderId="63" xfId="0" applyNumberFormat="1" applyFont="1" applyBorder="1" applyAlignment="1">
      <alignment/>
    </xf>
    <xf numFmtId="0" fontId="1" fillId="0" borderId="63" xfId="0" applyFont="1" applyBorder="1" applyAlignment="1">
      <alignment/>
    </xf>
    <xf numFmtId="3" fontId="6" fillId="0" borderId="64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0" fontId="1" fillId="0" borderId="62" xfId="0" applyFont="1" applyBorder="1" applyAlignment="1">
      <alignment/>
    </xf>
    <xf numFmtId="3" fontId="6" fillId="0" borderId="101" xfId="0" applyNumberFormat="1" applyFont="1" applyBorder="1" applyAlignment="1">
      <alignment/>
    </xf>
    <xf numFmtId="0" fontId="1" fillId="0" borderId="62" xfId="0" applyFont="1" applyBorder="1" applyAlignment="1">
      <alignment vertical="top" wrapText="1"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1" fillId="0" borderId="14" xfId="0" applyFont="1" applyBorder="1" applyAlignment="1">
      <alignment/>
    </xf>
    <xf numFmtId="49" fontId="2" fillId="0" borderId="104" xfId="0" applyNumberFormat="1" applyFont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9" fillId="0" borderId="24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 vertical="top" wrapText="1"/>
    </xf>
    <xf numFmtId="164" fontId="2" fillId="0" borderId="2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2" fillId="0" borderId="105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2" fillId="0" borderId="106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49" fontId="19" fillId="0" borderId="7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0" fontId="0" fillId="0" borderId="108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06" xfId="0" applyBorder="1" applyAlignment="1">
      <alignment horizontal="center"/>
    </xf>
    <xf numFmtId="3" fontId="9" fillId="0" borderId="106" xfId="0" applyNumberFormat="1" applyFont="1" applyBorder="1" applyAlignment="1">
      <alignment/>
    </xf>
    <xf numFmtId="3" fontId="33" fillId="0" borderId="106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0" fontId="0" fillId="0" borderId="111" xfId="0" applyBorder="1" applyAlignment="1">
      <alignment horizontal="center"/>
    </xf>
    <xf numFmtId="3" fontId="2" fillId="0" borderId="111" xfId="0" applyNumberFormat="1" applyFont="1" applyBorder="1" applyAlignment="1">
      <alignment/>
    </xf>
    <xf numFmtId="3" fontId="0" fillId="0" borderId="112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9" fillId="0" borderId="111" xfId="0" applyNumberFormat="1" applyFont="1" applyBorder="1" applyAlignment="1">
      <alignment/>
    </xf>
    <xf numFmtId="3" fontId="33" fillId="0" borderId="111" xfId="0" applyNumberFormat="1" applyFont="1" applyBorder="1" applyAlignment="1">
      <alignment/>
    </xf>
    <xf numFmtId="3" fontId="34" fillId="0" borderId="111" xfId="0" applyNumberFormat="1" applyFont="1" applyBorder="1" applyAlignment="1">
      <alignment/>
    </xf>
    <xf numFmtId="0" fontId="0" fillId="0" borderId="111" xfId="0" applyBorder="1" applyAlignment="1">
      <alignment horizontal="center" vertical="center"/>
    </xf>
    <xf numFmtId="3" fontId="12" fillId="0" borderId="111" xfId="0" applyNumberFormat="1" applyFont="1" applyBorder="1" applyAlignment="1">
      <alignment vertical="center"/>
    </xf>
    <xf numFmtId="3" fontId="0" fillId="0" borderId="112" xfId="0" applyNumberFormat="1" applyBorder="1" applyAlignment="1">
      <alignment vertical="center"/>
    </xf>
    <xf numFmtId="3" fontId="12" fillId="0" borderId="112" xfId="0" applyNumberFormat="1" applyFont="1" applyBorder="1" applyAlignment="1">
      <alignment/>
    </xf>
    <xf numFmtId="0" fontId="0" fillId="0" borderId="113" xfId="0" applyBorder="1" applyAlignment="1">
      <alignment horizontal="center"/>
    </xf>
    <xf numFmtId="3" fontId="0" fillId="0" borderId="113" xfId="0" applyNumberFormat="1" applyBorder="1" applyAlignment="1">
      <alignment/>
    </xf>
    <xf numFmtId="3" fontId="0" fillId="0" borderId="114" xfId="0" applyNumberFormat="1" applyBorder="1" applyAlignment="1">
      <alignment/>
    </xf>
    <xf numFmtId="3" fontId="0" fillId="0" borderId="108" xfId="0" applyNumberFormat="1" applyBorder="1" applyAlignment="1">
      <alignment/>
    </xf>
    <xf numFmtId="3" fontId="0" fillId="0" borderId="115" xfId="0" applyNumberFormat="1" applyBorder="1" applyAlignment="1">
      <alignment/>
    </xf>
    <xf numFmtId="3" fontId="35" fillId="0" borderId="111" xfId="0" applyNumberFormat="1" applyFont="1" applyBorder="1" applyAlignment="1">
      <alignment/>
    </xf>
    <xf numFmtId="0" fontId="0" fillId="0" borderId="116" xfId="0" applyBorder="1" applyAlignment="1">
      <alignment horizontal="center"/>
    </xf>
    <xf numFmtId="3" fontId="37" fillId="0" borderId="116" xfId="0" applyNumberFormat="1" applyFont="1" applyBorder="1" applyAlignment="1">
      <alignment/>
    </xf>
    <xf numFmtId="3" fontId="38" fillId="0" borderId="116" xfId="0" applyNumberFormat="1" applyFont="1" applyBorder="1" applyAlignment="1">
      <alignment/>
    </xf>
    <xf numFmtId="3" fontId="0" fillId="0" borderId="117" xfId="0" applyNumberFormat="1" applyBorder="1" applyAlignment="1">
      <alignment/>
    </xf>
    <xf numFmtId="3" fontId="37" fillId="0" borderId="111" xfId="0" applyNumberFormat="1" applyFont="1" applyBorder="1" applyAlignment="1">
      <alignment/>
    </xf>
    <xf numFmtId="3" fontId="38" fillId="0" borderId="111" xfId="0" applyNumberFormat="1" applyFont="1" applyBorder="1" applyAlignment="1">
      <alignment/>
    </xf>
    <xf numFmtId="3" fontId="10" fillId="0" borderId="111" xfId="0" applyNumberFormat="1" applyFont="1" applyBorder="1" applyAlignment="1">
      <alignment/>
    </xf>
    <xf numFmtId="3" fontId="1" fillId="0" borderId="111" xfId="0" applyNumberFormat="1" applyFont="1" applyBorder="1" applyAlignment="1">
      <alignment/>
    </xf>
    <xf numFmtId="3" fontId="33" fillId="0" borderId="111" xfId="0" applyNumberFormat="1" applyFont="1" applyBorder="1" applyAlignment="1">
      <alignment/>
    </xf>
    <xf numFmtId="3" fontId="9" fillId="0" borderId="111" xfId="0" applyNumberFormat="1" applyFont="1" applyBorder="1" applyAlignment="1">
      <alignment vertical="center"/>
    </xf>
    <xf numFmtId="3" fontId="33" fillId="0" borderId="111" xfId="0" applyNumberFormat="1" applyFont="1" applyBorder="1" applyAlignment="1">
      <alignment vertical="center"/>
    </xf>
    <xf numFmtId="3" fontId="37" fillId="0" borderId="111" xfId="0" applyNumberFormat="1" applyFont="1" applyBorder="1" applyAlignment="1">
      <alignment vertical="center"/>
    </xf>
    <xf numFmtId="0" fontId="0" fillId="0" borderId="116" xfId="0" applyBorder="1" applyAlignment="1">
      <alignment horizontal="center" vertical="center"/>
    </xf>
    <xf numFmtId="3" fontId="0" fillId="0" borderId="116" xfId="0" applyNumberFormat="1" applyBorder="1" applyAlignment="1">
      <alignment/>
    </xf>
    <xf numFmtId="3" fontId="0" fillId="0" borderId="111" xfId="0" applyNumberFormat="1" applyBorder="1" applyAlignment="1">
      <alignment vertical="center"/>
    </xf>
    <xf numFmtId="0" fontId="0" fillId="0" borderId="108" xfId="0" applyBorder="1" applyAlignment="1">
      <alignment/>
    </xf>
    <xf numFmtId="0" fontId="0" fillId="0" borderId="115" xfId="0" applyBorder="1" applyAlignment="1">
      <alignment/>
    </xf>
    <xf numFmtId="0" fontId="1" fillId="0" borderId="106" xfId="0" applyFont="1" applyBorder="1" applyAlignment="1">
      <alignment horizontal="center"/>
    </xf>
    <xf numFmtId="3" fontId="1" fillId="0" borderId="106" xfId="0" applyNumberFormat="1" applyFont="1" applyBorder="1" applyAlignment="1">
      <alignment/>
    </xf>
    <xf numFmtId="3" fontId="1" fillId="0" borderId="110" xfId="0" applyNumberFormat="1" applyFont="1" applyBorder="1" applyAlignment="1">
      <alignment/>
    </xf>
    <xf numFmtId="0" fontId="1" fillId="0" borderId="111" xfId="0" applyFont="1" applyBorder="1" applyAlignment="1">
      <alignment horizontal="center"/>
    </xf>
    <xf numFmtId="3" fontId="1" fillId="0" borderId="112" xfId="0" applyNumberFormat="1" applyFont="1" applyBorder="1" applyAlignment="1">
      <alignment/>
    </xf>
    <xf numFmtId="3" fontId="39" fillId="0" borderId="111" xfId="0" applyNumberFormat="1" applyFont="1" applyBorder="1" applyAlignment="1">
      <alignment/>
    </xf>
    <xf numFmtId="3" fontId="40" fillId="0" borderId="111" xfId="0" applyNumberFormat="1" applyFont="1" applyBorder="1" applyAlignment="1">
      <alignment/>
    </xf>
    <xf numFmtId="0" fontId="1" fillId="0" borderId="108" xfId="0" applyFont="1" applyBorder="1" applyAlignment="1">
      <alignment horizontal="center"/>
    </xf>
    <xf numFmtId="3" fontId="1" fillId="0" borderId="108" xfId="0" applyNumberFormat="1" applyFont="1" applyBorder="1" applyAlignment="1">
      <alignment/>
    </xf>
    <xf numFmtId="3" fontId="2" fillId="0" borderId="108" xfId="0" applyNumberFormat="1" applyFont="1" applyBorder="1" applyAlignment="1">
      <alignment/>
    </xf>
    <xf numFmtId="3" fontId="1" fillId="0" borderId="115" xfId="0" applyNumberFormat="1" applyFont="1" applyBorder="1" applyAlignment="1">
      <alignment/>
    </xf>
    <xf numFmtId="3" fontId="0" fillId="0" borderId="108" xfId="0" applyNumberFormat="1" applyBorder="1" applyAlignment="1">
      <alignment horizontal="center"/>
    </xf>
    <xf numFmtId="3" fontId="0" fillId="0" borderId="109" xfId="0" applyNumberFormat="1" applyBorder="1" applyAlignment="1">
      <alignment horizontal="center"/>
    </xf>
    <xf numFmtId="3" fontId="10" fillId="0" borderId="106" xfId="0" applyNumberFormat="1" applyFont="1" applyBorder="1" applyAlignment="1">
      <alignment/>
    </xf>
    <xf numFmtId="3" fontId="9" fillId="0" borderId="108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1" fillId="0" borderId="37" xfId="0" applyNumberFormat="1" applyFont="1" applyFill="1" applyBorder="1" applyAlignment="1">
      <alignment horizontal="right" vertical="center"/>
    </xf>
    <xf numFmtId="164" fontId="1" fillId="0" borderId="37" xfId="0" applyNumberFormat="1" applyFont="1" applyBorder="1" applyAlignment="1">
      <alignment horizontal="right"/>
    </xf>
    <xf numFmtId="165" fontId="1" fillId="0" borderId="41" xfId="0" applyNumberFormat="1" applyFont="1" applyBorder="1" applyAlignment="1">
      <alignment horizontal="right" vertical="center"/>
    </xf>
    <xf numFmtId="0" fontId="1" fillId="0" borderId="38" xfId="0" applyFont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63" xfId="0" applyFont="1" applyFill="1" applyBorder="1" applyAlignment="1">
      <alignment horizontal="left"/>
    </xf>
    <xf numFmtId="164" fontId="1" fillId="0" borderId="43" xfId="0" applyNumberFormat="1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49" fontId="1" fillId="0" borderId="7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49" fontId="2" fillId="0" borderId="118" xfId="0" applyNumberFormat="1" applyFont="1" applyBorder="1" applyAlignment="1">
      <alignment horizontal="left"/>
    </xf>
    <xf numFmtId="3" fontId="2" fillId="0" borderId="111" xfId="0" applyNumberFormat="1" applyFont="1" applyBorder="1" applyAlignment="1">
      <alignment horizontal="center"/>
    </xf>
    <xf numFmtId="3" fontId="2" fillId="0" borderId="112" xfId="0" applyNumberFormat="1" applyFont="1" applyBorder="1" applyAlignment="1">
      <alignment horizontal="center"/>
    </xf>
    <xf numFmtId="49" fontId="9" fillId="0" borderId="119" xfId="0" applyNumberFormat="1" applyFont="1" applyBorder="1" applyAlignment="1">
      <alignment horizontal="left"/>
    </xf>
    <xf numFmtId="49" fontId="9" fillId="0" borderId="120" xfId="0" applyNumberFormat="1" applyFont="1" applyBorder="1" applyAlignment="1">
      <alignment horizontal="left"/>
    </xf>
    <xf numFmtId="49" fontId="9" fillId="0" borderId="121" xfId="0" applyNumberFormat="1" applyFont="1" applyBorder="1" applyAlignment="1">
      <alignment horizontal="left"/>
    </xf>
    <xf numFmtId="3" fontId="9" fillId="0" borderId="108" xfId="0" applyNumberFormat="1" applyFont="1" applyBorder="1" applyAlignment="1">
      <alignment horizontal="center"/>
    </xf>
    <xf numFmtId="3" fontId="9" fillId="0" borderId="115" xfId="0" applyNumberFormat="1" applyFont="1" applyBorder="1" applyAlignment="1">
      <alignment horizontal="center"/>
    </xf>
    <xf numFmtId="49" fontId="1" fillId="0" borderId="105" xfId="0" applyNumberFormat="1" applyFont="1" applyBorder="1" applyAlignment="1">
      <alignment horizontal="left"/>
    </xf>
    <xf numFmtId="49" fontId="1" fillId="0" borderId="104" xfId="0" applyNumberFormat="1" applyFont="1" applyBorder="1" applyAlignment="1">
      <alignment horizontal="left"/>
    </xf>
    <xf numFmtId="49" fontId="1" fillId="0" borderId="118" xfId="0" applyNumberFormat="1" applyFont="1" applyBorder="1" applyAlignment="1">
      <alignment horizontal="left"/>
    </xf>
    <xf numFmtId="3" fontId="1" fillId="0" borderId="111" xfId="0" applyNumberFormat="1" applyFont="1" applyBorder="1" applyAlignment="1">
      <alignment horizontal="center"/>
    </xf>
    <xf numFmtId="3" fontId="1" fillId="0" borderId="112" xfId="0" applyNumberFormat="1" applyFont="1" applyBorder="1" applyAlignment="1">
      <alignment horizontal="center"/>
    </xf>
    <xf numFmtId="49" fontId="40" fillId="0" borderId="105" xfId="0" applyNumberFormat="1" applyFont="1" applyBorder="1" applyAlignment="1">
      <alignment horizontal="left"/>
    </xf>
    <xf numFmtId="49" fontId="40" fillId="0" borderId="104" xfId="0" applyNumberFormat="1" applyFont="1" applyBorder="1" applyAlignment="1">
      <alignment horizontal="left"/>
    </xf>
    <xf numFmtId="49" fontId="40" fillId="0" borderId="118" xfId="0" applyNumberFormat="1" applyFont="1" applyBorder="1" applyAlignment="1">
      <alignment horizontal="left"/>
    </xf>
    <xf numFmtId="3" fontId="40" fillId="0" borderId="111" xfId="0" applyNumberFormat="1" applyFont="1" applyBorder="1" applyAlignment="1">
      <alignment horizontal="center"/>
    </xf>
    <xf numFmtId="3" fontId="40" fillId="0" borderId="112" xfId="0" applyNumberFormat="1" applyFont="1" applyBorder="1" applyAlignment="1">
      <alignment horizontal="center"/>
    </xf>
    <xf numFmtId="49" fontId="1" fillId="0" borderId="122" xfId="0" applyNumberFormat="1" applyFont="1" applyBorder="1" applyAlignment="1">
      <alignment horizontal="left"/>
    </xf>
    <xf numFmtId="49" fontId="1" fillId="0" borderId="123" xfId="0" applyNumberFormat="1" applyFont="1" applyBorder="1" applyAlignment="1">
      <alignment horizontal="left"/>
    </xf>
    <xf numFmtId="49" fontId="1" fillId="0" borderId="124" xfId="0" applyNumberFormat="1" applyFont="1" applyBorder="1" applyAlignment="1">
      <alignment horizontal="left"/>
    </xf>
    <xf numFmtId="3" fontId="1" fillId="0" borderId="106" xfId="0" applyNumberFormat="1" applyFont="1" applyBorder="1" applyAlignment="1">
      <alignment horizontal="center"/>
    </xf>
    <xf numFmtId="3" fontId="1" fillId="0" borderId="110" xfId="0" applyNumberFormat="1" applyFont="1" applyBorder="1" applyAlignment="1">
      <alignment horizontal="center"/>
    </xf>
    <xf numFmtId="0" fontId="9" fillId="0" borderId="125" xfId="0" applyFont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9" fillId="0" borderId="130" xfId="0" applyFont="1" applyBorder="1" applyAlignment="1">
      <alignment horizontal="center" vertical="center"/>
    </xf>
    <xf numFmtId="0" fontId="12" fillId="0" borderId="131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132" xfId="0" applyFont="1" applyBorder="1" applyAlignment="1">
      <alignment horizontal="center" vertical="center"/>
    </xf>
    <xf numFmtId="0" fontId="12" fillId="0" borderId="126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12" fillId="0" borderId="133" xfId="0" applyFont="1" applyBorder="1" applyAlignment="1">
      <alignment horizontal="center" vertical="center"/>
    </xf>
    <xf numFmtId="0" fontId="12" fillId="0" borderId="129" xfId="0" applyFont="1" applyBorder="1" applyAlignment="1">
      <alignment horizontal="center" vertical="center"/>
    </xf>
    <xf numFmtId="0" fontId="12" fillId="0" borderId="134" xfId="0" applyFont="1" applyBorder="1" applyAlignment="1">
      <alignment horizontal="center" vertical="center"/>
    </xf>
    <xf numFmtId="0" fontId="0" fillId="0" borderId="135" xfId="0" applyBorder="1" applyAlignment="1">
      <alignment horizontal="center"/>
    </xf>
    <xf numFmtId="0" fontId="0" fillId="0" borderId="136" xfId="0" applyBorder="1" applyAlignment="1">
      <alignment horizontal="center"/>
    </xf>
    <xf numFmtId="0" fontId="0" fillId="0" borderId="137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38" xfId="0" applyBorder="1" applyAlignment="1">
      <alignment horizontal="center"/>
    </xf>
    <xf numFmtId="49" fontId="2" fillId="0" borderId="119" xfId="0" applyNumberFormat="1" applyFont="1" applyBorder="1" applyAlignment="1">
      <alignment horizontal="left"/>
    </xf>
    <xf numFmtId="49" fontId="2" fillId="0" borderId="120" xfId="0" applyNumberFormat="1" applyFont="1" applyBorder="1" applyAlignment="1">
      <alignment horizontal="left"/>
    </xf>
    <xf numFmtId="49" fontId="2" fillId="0" borderId="121" xfId="0" applyNumberFormat="1" applyFont="1" applyBorder="1" applyAlignment="1">
      <alignment horizontal="left"/>
    </xf>
    <xf numFmtId="49" fontId="10" fillId="0" borderId="105" xfId="0" applyNumberFormat="1" applyFont="1" applyBorder="1" applyAlignment="1">
      <alignment horizontal="left"/>
    </xf>
    <xf numFmtId="49" fontId="10" fillId="0" borderId="104" xfId="0" applyNumberFormat="1" applyFont="1" applyBorder="1" applyAlignment="1">
      <alignment horizontal="left"/>
    </xf>
    <xf numFmtId="49" fontId="10" fillId="0" borderId="118" xfId="0" applyNumberFormat="1" applyFont="1" applyBorder="1" applyAlignment="1">
      <alignment horizontal="left"/>
    </xf>
    <xf numFmtId="49" fontId="10" fillId="0" borderId="122" xfId="0" applyNumberFormat="1" applyFont="1" applyBorder="1" applyAlignment="1">
      <alignment horizontal="left"/>
    </xf>
    <xf numFmtId="49" fontId="10" fillId="0" borderId="123" xfId="0" applyNumberFormat="1" applyFont="1" applyBorder="1" applyAlignment="1">
      <alignment horizontal="left"/>
    </xf>
    <xf numFmtId="49" fontId="10" fillId="0" borderId="124" xfId="0" applyNumberFormat="1" applyFont="1" applyBorder="1" applyAlignment="1">
      <alignment horizontal="left"/>
    </xf>
    <xf numFmtId="3" fontId="12" fillId="0" borderId="111" xfId="0" applyNumberFormat="1" applyFont="1" applyBorder="1" applyAlignment="1">
      <alignment horizontal="center"/>
    </xf>
    <xf numFmtId="3" fontId="12" fillId="0" borderId="112" xfId="0" applyNumberFormat="1" applyFont="1" applyBorder="1" applyAlignment="1">
      <alignment horizontal="center"/>
    </xf>
    <xf numFmtId="49" fontId="39" fillId="0" borderId="105" xfId="0" applyNumberFormat="1" applyFont="1" applyBorder="1" applyAlignment="1">
      <alignment horizontal="left"/>
    </xf>
    <xf numFmtId="49" fontId="39" fillId="0" borderId="104" xfId="0" applyNumberFormat="1" applyFont="1" applyBorder="1" applyAlignment="1">
      <alignment horizontal="left"/>
    </xf>
    <xf numFmtId="49" fontId="39" fillId="0" borderId="118" xfId="0" applyNumberFormat="1" applyFont="1" applyBorder="1" applyAlignment="1">
      <alignment horizontal="left"/>
    </xf>
    <xf numFmtId="49" fontId="32" fillId="0" borderId="105" xfId="0" applyNumberFormat="1" applyFont="1" applyBorder="1" applyAlignment="1">
      <alignment horizontal="left"/>
    </xf>
    <xf numFmtId="49" fontId="32" fillId="0" borderId="104" xfId="0" applyNumberFormat="1" applyFont="1" applyBorder="1" applyAlignment="1">
      <alignment horizontal="left"/>
    </xf>
    <xf numFmtId="49" fontId="32" fillId="0" borderId="118" xfId="0" applyNumberFormat="1" applyFont="1" applyBorder="1" applyAlignment="1">
      <alignment horizontal="left"/>
    </xf>
    <xf numFmtId="0" fontId="12" fillId="0" borderId="111" xfId="0" applyFont="1" applyBorder="1" applyAlignment="1">
      <alignment horizontal="center"/>
    </xf>
    <xf numFmtId="0" fontId="12" fillId="0" borderId="112" xfId="0" applyFont="1" applyBorder="1" applyAlignment="1">
      <alignment horizontal="center"/>
    </xf>
    <xf numFmtId="49" fontId="0" fillId="0" borderId="119" xfId="0" applyNumberFormat="1" applyBorder="1" applyAlignment="1">
      <alignment horizontal="left"/>
    </xf>
    <xf numFmtId="49" fontId="0" fillId="0" borderId="120" xfId="0" applyNumberFormat="1" applyBorder="1" applyAlignment="1">
      <alignment horizontal="left"/>
    </xf>
    <xf numFmtId="49" fontId="0" fillId="0" borderId="121" xfId="0" applyNumberFormat="1" applyBorder="1" applyAlignment="1">
      <alignment horizontal="left"/>
    </xf>
    <xf numFmtId="49" fontId="10" fillId="0" borderId="105" xfId="0" applyNumberFormat="1" applyFont="1" applyBorder="1" applyAlignment="1">
      <alignment horizontal="left" vertical="center" wrapText="1"/>
    </xf>
    <xf numFmtId="49" fontId="10" fillId="0" borderId="104" xfId="0" applyNumberFormat="1" applyFont="1" applyBorder="1" applyAlignment="1">
      <alignment horizontal="left" vertical="center" wrapText="1"/>
    </xf>
    <xf numFmtId="49" fontId="10" fillId="0" borderId="118" xfId="0" applyNumberFormat="1" applyFont="1" applyBorder="1" applyAlignment="1">
      <alignment horizontal="left" vertical="center" wrapText="1"/>
    </xf>
    <xf numFmtId="49" fontId="1" fillId="0" borderId="105" xfId="0" applyNumberFormat="1" applyFont="1" applyBorder="1" applyAlignment="1">
      <alignment horizontal="left" wrapText="1"/>
    </xf>
    <xf numFmtId="49" fontId="1" fillId="0" borderId="104" xfId="0" applyNumberFormat="1" applyFont="1" applyBorder="1" applyAlignment="1">
      <alignment horizontal="left" wrapText="1"/>
    </xf>
    <xf numFmtId="49" fontId="1" fillId="0" borderId="118" xfId="0" applyNumberFormat="1" applyFont="1" applyBorder="1" applyAlignment="1">
      <alignment horizontal="left" wrapText="1"/>
    </xf>
    <xf numFmtId="49" fontId="0" fillId="0" borderId="105" xfId="0" applyNumberFormat="1" applyBorder="1" applyAlignment="1">
      <alignment horizontal="left"/>
    </xf>
    <xf numFmtId="49" fontId="0" fillId="0" borderId="104" xfId="0" applyNumberFormat="1" applyBorder="1" applyAlignment="1">
      <alignment horizontal="left"/>
    </xf>
    <xf numFmtId="49" fontId="0" fillId="0" borderId="118" xfId="0" applyNumberFormat="1" applyBorder="1" applyAlignment="1">
      <alignment horizontal="left"/>
    </xf>
    <xf numFmtId="49" fontId="0" fillId="0" borderId="105" xfId="0" applyNumberFormat="1" applyBorder="1" applyAlignment="1">
      <alignment horizontal="left" vertical="center" wrapText="1"/>
    </xf>
    <xf numFmtId="49" fontId="0" fillId="0" borderId="104" xfId="0" applyNumberFormat="1" applyBorder="1" applyAlignment="1">
      <alignment horizontal="left" vertical="center" wrapText="1"/>
    </xf>
    <xf numFmtId="49" fontId="0" fillId="0" borderId="118" xfId="0" applyNumberFormat="1" applyBorder="1" applyAlignment="1">
      <alignment horizontal="left" vertical="center" wrapText="1"/>
    </xf>
    <xf numFmtId="49" fontId="10" fillId="0" borderId="105" xfId="0" applyNumberFormat="1" applyFont="1" applyBorder="1" applyAlignment="1">
      <alignment horizontal="left" wrapText="1"/>
    </xf>
    <xf numFmtId="49" fontId="10" fillId="0" borderId="104" xfId="0" applyNumberFormat="1" applyFont="1" applyBorder="1" applyAlignment="1">
      <alignment horizontal="left" wrapText="1"/>
    </xf>
    <xf numFmtId="49" fontId="10" fillId="0" borderId="118" xfId="0" applyNumberFormat="1" applyFont="1" applyBorder="1" applyAlignment="1">
      <alignment horizontal="left" wrapText="1"/>
    </xf>
    <xf numFmtId="0" fontId="1" fillId="0" borderId="105" xfId="0" applyFont="1" applyBorder="1" applyAlignment="1">
      <alignment horizontal="left"/>
    </xf>
    <xf numFmtId="0" fontId="1" fillId="0" borderId="104" xfId="0" applyFont="1" applyBorder="1" applyAlignment="1">
      <alignment horizontal="left"/>
    </xf>
    <xf numFmtId="0" fontId="1" fillId="0" borderId="118" xfId="0" applyFont="1" applyBorder="1" applyAlignment="1">
      <alignment horizontal="left"/>
    </xf>
    <xf numFmtId="49" fontId="32" fillId="0" borderId="105" xfId="0" applyNumberFormat="1" applyFont="1" applyBorder="1" applyAlignment="1">
      <alignment horizontal="left" vertical="center" wrapText="1"/>
    </xf>
    <xf numFmtId="49" fontId="32" fillId="0" borderId="104" xfId="0" applyNumberFormat="1" applyFont="1" applyBorder="1" applyAlignment="1">
      <alignment horizontal="left" vertical="center" wrapText="1"/>
    </xf>
    <xf numFmtId="49" fontId="32" fillId="0" borderId="118" xfId="0" applyNumberFormat="1" applyFont="1" applyBorder="1" applyAlignment="1">
      <alignment horizontal="left" vertical="center" wrapText="1"/>
    </xf>
    <xf numFmtId="0" fontId="1" fillId="0" borderId="104" xfId="0" applyFont="1" applyBorder="1" applyAlignment="1">
      <alignment/>
    </xf>
    <xf numFmtId="0" fontId="1" fillId="0" borderId="118" xfId="0" applyFont="1" applyBorder="1" applyAlignment="1">
      <alignment/>
    </xf>
    <xf numFmtId="49" fontId="36" fillId="0" borderId="105" xfId="0" applyNumberFormat="1" applyFont="1" applyBorder="1" applyAlignment="1">
      <alignment horizontal="left"/>
    </xf>
    <xf numFmtId="49" fontId="36" fillId="0" borderId="104" xfId="0" applyNumberFormat="1" applyFont="1" applyBorder="1" applyAlignment="1">
      <alignment horizontal="left"/>
    </xf>
    <xf numFmtId="49" fontId="36" fillId="0" borderId="118" xfId="0" applyNumberFormat="1" applyFont="1" applyBorder="1" applyAlignment="1">
      <alignment horizontal="left"/>
    </xf>
    <xf numFmtId="49" fontId="12" fillId="0" borderId="105" xfId="0" applyNumberFormat="1" applyFont="1" applyBorder="1" applyAlignment="1">
      <alignment horizontal="left" wrapText="1"/>
    </xf>
    <xf numFmtId="49" fontId="12" fillId="0" borderId="104" xfId="0" applyNumberFormat="1" applyFont="1" applyBorder="1" applyAlignment="1">
      <alignment horizontal="left" wrapText="1"/>
    </xf>
    <xf numFmtId="49" fontId="12" fillId="0" borderId="118" xfId="0" applyNumberFormat="1" applyFont="1" applyBorder="1" applyAlignment="1">
      <alignment horizontal="left" wrapText="1"/>
    </xf>
    <xf numFmtId="49" fontId="12" fillId="0" borderId="105" xfId="0" applyNumberFormat="1" applyFont="1" applyBorder="1" applyAlignment="1">
      <alignment horizontal="left"/>
    </xf>
    <xf numFmtId="49" fontId="12" fillId="0" borderId="104" xfId="0" applyNumberFormat="1" applyFont="1" applyBorder="1" applyAlignment="1">
      <alignment horizontal="left"/>
    </xf>
    <xf numFmtId="49" fontId="12" fillId="0" borderId="118" xfId="0" applyNumberFormat="1" applyFont="1" applyBorder="1" applyAlignment="1">
      <alignment horizontal="left"/>
    </xf>
    <xf numFmtId="49" fontId="36" fillId="0" borderId="139" xfId="0" applyNumberFormat="1" applyFont="1" applyBorder="1" applyAlignment="1">
      <alignment horizontal="left"/>
    </xf>
    <xf numFmtId="49" fontId="36" fillId="0" borderId="140" xfId="0" applyNumberFormat="1" applyFont="1" applyBorder="1" applyAlignment="1">
      <alignment horizontal="left"/>
    </xf>
    <xf numFmtId="49" fontId="36" fillId="0" borderId="141" xfId="0" applyNumberFormat="1" applyFont="1" applyBorder="1" applyAlignment="1">
      <alignment horizontal="left"/>
    </xf>
    <xf numFmtId="0" fontId="10" fillId="0" borderId="105" xfId="0" applyFont="1" applyBorder="1" applyAlignment="1">
      <alignment horizontal="left"/>
    </xf>
    <xf numFmtId="0" fontId="10" fillId="0" borderId="104" xfId="0" applyFont="1" applyBorder="1" applyAlignment="1">
      <alignment horizontal="left"/>
    </xf>
    <xf numFmtId="0" fontId="10" fillId="0" borderId="118" xfId="0" applyFont="1" applyBorder="1" applyAlignment="1">
      <alignment horizontal="left"/>
    </xf>
    <xf numFmtId="0" fontId="0" fillId="0" borderId="104" xfId="0" applyBorder="1" applyAlignment="1">
      <alignment/>
    </xf>
    <xf numFmtId="0" fontId="0" fillId="0" borderId="118" xfId="0" applyBorder="1" applyAlignment="1">
      <alignment/>
    </xf>
    <xf numFmtId="49" fontId="1" fillId="0" borderId="119" xfId="0" applyNumberFormat="1" applyFont="1" applyBorder="1" applyAlignment="1">
      <alignment horizontal="left"/>
    </xf>
    <xf numFmtId="49" fontId="1" fillId="0" borderId="120" xfId="0" applyNumberFormat="1" applyFont="1" applyBorder="1" applyAlignment="1">
      <alignment horizontal="left"/>
    </xf>
    <xf numFmtId="49" fontId="1" fillId="0" borderId="121" xfId="0" applyNumberFormat="1" applyFont="1" applyBorder="1" applyAlignment="1">
      <alignment horizontal="left"/>
    </xf>
    <xf numFmtId="49" fontId="1" fillId="0" borderId="128" xfId="0" applyNumberFormat="1" applyFont="1" applyBorder="1" applyAlignment="1">
      <alignment horizontal="left"/>
    </xf>
    <xf numFmtId="49" fontId="1" fillId="0" borderId="129" xfId="0" applyNumberFormat="1" applyFont="1" applyBorder="1" applyAlignment="1">
      <alignment horizontal="left"/>
    </xf>
    <xf numFmtId="49" fontId="1" fillId="0" borderId="130" xfId="0" applyNumberFormat="1" applyFont="1" applyBorder="1" applyAlignment="1">
      <alignment horizontal="left"/>
    </xf>
    <xf numFmtId="49" fontId="34" fillId="0" borderId="105" xfId="0" applyNumberFormat="1" applyFont="1" applyBorder="1" applyAlignment="1">
      <alignment horizontal="left"/>
    </xf>
    <xf numFmtId="49" fontId="34" fillId="0" borderId="104" xfId="0" applyNumberFormat="1" applyFont="1" applyBorder="1" applyAlignment="1">
      <alignment horizontal="left"/>
    </xf>
    <xf numFmtId="49" fontId="34" fillId="0" borderId="118" xfId="0" applyNumberFormat="1" applyFont="1" applyBorder="1" applyAlignment="1">
      <alignment horizontal="left"/>
    </xf>
    <xf numFmtId="49" fontId="32" fillId="0" borderId="122" xfId="0" applyNumberFormat="1" applyFont="1" applyBorder="1" applyAlignment="1">
      <alignment horizontal="left"/>
    </xf>
    <xf numFmtId="49" fontId="32" fillId="0" borderId="123" xfId="0" applyNumberFormat="1" applyFont="1" applyBorder="1" applyAlignment="1">
      <alignment horizontal="left"/>
    </xf>
    <xf numFmtId="49" fontId="32" fillId="0" borderId="124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3" fontId="1" fillId="0" borderId="93" xfId="0" applyNumberFormat="1" applyFont="1" applyBorder="1" applyAlignment="1">
      <alignment horizontal="center" vertical="center"/>
    </xf>
    <xf numFmtId="164" fontId="1" fillId="0" borderId="93" xfId="0" applyNumberFormat="1" applyFont="1" applyBorder="1" applyAlignment="1" applyProtection="1">
      <alignment horizontal="right" vertical="center" wrapText="1"/>
      <protection locked="0"/>
    </xf>
    <xf numFmtId="164" fontId="1" fillId="0" borderId="93" xfId="0" applyNumberFormat="1" applyFont="1" applyBorder="1" applyAlignment="1" applyProtection="1">
      <alignment horizontal="center" vertical="center" wrapText="1"/>
      <protection locked="0"/>
    </xf>
    <xf numFmtId="3" fontId="1" fillId="0" borderId="9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workbookViewId="0" topLeftCell="M1">
      <selection activeCell="U25" sqref="U25"/>
    </sheetView>
  </sheetViews>
  <sheetFormatPr defaultColWidth="9.140625" defaultRowHeight="12.75"/>
  <cols>
    <col min="1" max="1" width="2.421875" style="1" customWidth="1"/>
    <col min="2" max="2" width="5.57421875" style="1" customWidth="1"/>
    <col min="3" max="6" width="9.140625" style="1" customWidth="1"/>
    <col min="7" max="7" width="6.28125" style="1" customWidth="1"/>
    <col min="8" max="10" width="10.28125" style="1" customWidth="1"/>
    <col min="11" max="11" width="10.8515625" style="1" customWidth="1"/>
    <col min="12" max="12" width="11.00390625" style="1" customWidth="1"/>
    <col min="13" max="13" width="10.28125" style="1" customWidth="1"/>
    <col min="14" max="14" width="0.85546875" style="1" customWidth="1"/>
    <col min="15" max="15" width="2.421875" style="1" customWidth="1"/>
    <col min="16" max="16" width="5.421875" style="1" customWidth="1"/>
    <col min="17" max="19" width="9.140625" style="1" customWidth="1"/>
    <col min="20" max="20" width="11.7109375" style="1" customWidth="1"/>
    <col min="21" max="21" width="10.57421875" style="1" customWidth="1"/>
    <col min="22" max="23" width="10.28125" style="1" customWidth="1"/>
    <col min="24" max="24" width="11.421875" style="1" customWidth="1"/>
    <col min="25" max="25" width="10.7109375" style="1" customWidth="1"/>
    <col min="26" max="26" width="10.28125" style="1" customWidth="1"/>
    <col min="27" max="16384" width="9.140625" style="1" customWidth="1"/>
  </cols>
  <sheetData>
    <row r="1" spans="1:26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Y1" s="1052" t="s">
        <v>957</v>
      </c>
      <c r="Z1" s="1052"/>
    </row>
    <row r="2" spans="1:25" ht="15">
      <c r="A2" s="1053" t="s">
        <v>958</v>
      </c>
      <c r="B2" s="1053"/>
      <c r="C2" s="1053"/>
      <c r="D2" s="1053"/>
      <c r="E2" s="1053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1053"/>
      <c r="R2" s="1053"/>
      <c r="S2" s="1053"/>
      <c r="T2" s="1053"/>
      <c r="U2" s="1053"/>
      <c r="V2" s="1053"/>
      <c r="W2" s="1053"/>
      <c r="X2" s="1053"/>
      <c r="Y2" s="5"/>
    </row>
    <row r="3" spans="1:25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6" ht="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3"/>
      <c r="U4" s="3"/>
      <c r="V4" s="3"/>
      <c r="Z4" s="7" t="s">
        <v>959</v>
      </c>
    </row>
    <row r="5" spans="1:26" ht="15.75" customHeight="1">
      <c r="A5" s="1054" t="s">
        <v>960</v>
      </c>
      <c r="B5" s="1054"/>
      <c r="C5" s="1054"/>
      <c r="D5" s="1054"/>
      <c r="E5" s="1054"/>
      <c r="F5" s="1054"/>
      <c r="G5" s="1054"/>
      <c r="H5" s="8" t="s">
        <v>961</v>
      </c>
      <c r="I5" s="8" t="s">
        <v>962</v>
      </c>
      <c r="J5" s="8" t="s">
        <v>963</v>
      </c>
      <c r="K5" s="8" t="s">
        <v>964</v>
      </c>
      <c r="L5" s="8" t="s">
        <v>965</v>
      </c>
      <c r="M5" s="8" t="s">
        <v>966</v>
      </c>
      <c r="N5" s="9"/>
      <c r="O5" s="1054" t="s">
        <v>967</v>
      </c>
      <c r="P5" s="1054"/>
      <c r="Q5" s="1054"/>
      <c r="R5" s="1054"/>
      <c r="S5" s="1054"/>
      <c r="T5" s="1054"/>
      <c r="U5" s="8" t="s">
        <v>968</v>
      </c>
      <c r="V5" s="8" t="s">
        <v>969</v>
      </c>
      <c r="W5" s="8" t="s">
        <v>970</v>
      </c>
      <c r="X5" s="10" t="s">
        <v>971</v>
      </c>
      <c r="Y5" s="10" t="s">
        <v>972</v>
      </c>
      <c r="Z5" s="10" t="s">
        <v>973</v>
      </c>
    </row>
    <row r="6" spans="1:26" ht="15">
      <c r="A6" s="11" t="s">
        <v>974</v>
      </c>
      <c r="B6" s="12"/>
      <c r="C6" s="12"/>
      <c r="D6" s="12"/>
      <c r="E6" s="12"/>
      <c r="F6" s="12"/>
      <c r="G6" s="12"/>
      <c r="H6" s="13" t="s">
        <v>975</v>
      </c>
      <c r="I6" s="13" t="s">
        <v>976</v>
      </c>
      <c r="J6" s="13" t="s">
        <v>977</v>
      </c>
      <c r="K6" s="13" t="s">
        <v>978</v>
      </c>
      <c r="L6" s="13" t="s">
        <v>979</v>
      </c>
      <c r="M6" s="13" t="s">
        <v>979</v>
      </c>
      <c r="N6" s="14"/>
      <c r="O6" s="15" t="s">
        <v>980</v>
      </c>
      <c r="P6" s="15"/>
      <c r="Q6" s="15"/>
      <c r="R6" s="15"/>
      <c r="S6" s="15"/>
      <c r="T6" s="16"/>
      <c r="U6" s="17" t="s">
        <v>975</v>
      </c>
      <c r="V6" s="18" t="s">
        <v>976</v>
      </c>
      <c r="W6" s="19" t="s">
        <v>977</v>
      </c>
      <c r="X6" s="20" t="s">
        <v>978</v>
      </c>
      <c r="Y6" s="13" t="s">
        <v>979</v>
      </c>
      <c r="Z6" s="21" t="s">
        <v>979</v>
      </c>
    </row>
    <row r="7" spans="1:26" ht="15">
      <c r="A7" s="22"/>
      <c r="B7" s="5"/>
      <c r="C7" s="5"/>
      <c r="D7" s="5"/>
      <c r="E7" s="5"/>
      <c r="F7" s="5"/>
      <c r="G7" s="5"/>
      <c r="H7" s="23" t="s">
        <v>981</v>
      </c>
      <c r="I7" s="23" t="s">
        <v>981</v>
      </c>
      <c r="J7" s="23" t="s">
        <v>982</v>
      </c>
      <c r="K7" s="23" t="s">
        <v>983</v>
      </c>
      <c r="L7" s="23"/>
      <c r="M7" s="24" t="s">
        <v>984</v>
      </c>
      <c r="N7" s="25"/>
      <c r="O7" s="26"/>
      <c r="P7" s="27"/>
      <c r="Q7" s="27"/>
      <c r="R7" s="27"/>
      <c r="S7" s="27"/>
      <c r="T7" s="28"/>
      <c r="U7" s="29" t="s">
        <v>981</v>
      </c>
      <c r="V7" s="30" t="s">
        <v>981</v>
      </c>
      <c r="W7" s="31" t="s">
        <v>982</v>
      </c>
      <c r="X7" s="32" t="s">
        <v>983</v>
      </c>
      <c r="Y7" s="23"/>
      <c r="Z7" s="33" t="s">
        <v>984</v>
      </c>
    </row>
    <row r="8" spans="1:26" ht="15">
      <c r="A8" s="22"/>
      <c r="B8" s="5"/>
      <c r="C8" s="5"/>
      <c r="D8" s="5"/>
      <c r="E8" s="5"/>
      <c r="F8" s="5"/>
      <c r="G8" s="5"/>
      <c r="H8" s="23"/>
      <c r="I8" s="23"/>
      <c r="J8" s="23" t="s">
        <v>985</v>
      </c>
      <c r="K8" s="23"/>
      <c r="L8" s="23"/>
      <c r="M8" s="23"/>
      <c r="N8" s="25"/>
      <c r="O8" s="26"/>
      <c r="P8" s="27"/>
      <c r="Q8" s="27"/>
      <c r="R8" s="27"/>
      <c r="S8" s="27"/>
      <c r="T8" s="28"/>
      <c r="U8" s="29"/>
      <c r="V8" s="30"/>
      <c r="W8" s="31" t="s">
        <v>985</v>
      </c>
      <c r="X8" s="32"/>
      <c r="Y8" s="23"/>
      <c r="Z8" s="34"/>
    </row>
    <row r="9" spans="1:26" ht="15">
      <c r="A9" s="22"/>
      <c r="B9" s="5"/>
      <c r="C9" s="5"/>
      <c r="D9" s="5"/>
      <c r="E9" s="5"/>
      <c r="F9" s="5"/>
      <c r="G9" s="5"/>
      <c r="H9" s="23"/>
      <c r="I9" s="23"/>
      <c r="J9" s="23" t="s">
        <v>986</v>
      </c>
      <c r="K9" s="23"/>
      <c r="L9" s="35"/>
      <c r="M9" s="35"/>
      <c r="N9" s="25"/>
      <c r="O9" s="26"/>
      <c r="P9" s="27"/>
      <c r="Q9" s="27"/>
      <c r="R9" s="27"/>
      <c r="S9" s="27"/>
      <c r="T9" s="28"/>
      <c r="U9" s="29"/>
      <c r="V9" s="30"/>
      <c r="W9" s="31" t="s">
        <v>986</v>
      </c>
      <c r="X9" s="36"/>
      <c r="Y9" s="36"/>
      <c r="Z9" s="37"/>
    </row>
    <row r="10" spans="1:26" ht="14.25">
      <c r="A10" s="38" t="s">
        <v>987</v>
      </c>
      <c r="B10" s="39" t="s">
        <v>988</v>
      </c>
      <c r="C10" s="39"/>
      <c r="D10" s="39"/>
      <c r="E10" s="39"/>
      <c r="F10" s="39"/>
      <c r="G10" s="39"/>
      <c r="H10" s="40"/>
      <c r="I10" s="40"/>
      <c r="J10" s="40"/>
      <c r="K10" s="41"/>
      <c r="L10" s="42"/>
      <c r="M10" s="42"/>
      <c r="N10" s="43"/>
      <c r="O10" s="39" t="s">
        <v>987</v>
      </c>
      <c r="P10" s="39" t="s">
        <v>989</v>
      </c>
      <c r="Q10" s="39"/>
      <c r="R10" s="39"/>
      <c r="S10" s="39"/>
      <c r="T10" s="44"/>
      <c r="U10" s="40"/>
      <c r="V10" s="40"/>
      <c r="W10" s="40"/>
      <c r="X10" s="45"/>
      <c r="Y10" s="46"/>
      <c r="Z10" s="34"/>
    </row>
    <row r="11" spans="1:26" ht="14.25">
      <c r="A11" s="47"/>
      <c r="B11" s="48" t="s">
        <v>990</v>
      </c>
      <c r="C11" s="2" t="s">
        <v>991</v>
      </c>
      <c r="D11" s="2"/>
      <c r="E11" s="2"/>
      <c r="F11" s="2"/>
      <c r="G11" s="2"/>
      <c r="H11" s="49">
        <v>269765</v>
      </c>
      <c r="I11" s="42">
        <v>311183</v>
      </c>
      <c r="J11" s="49">
        <v>268955</v>
      </c>
      <c r="K11" s="42">
        <v>290777</v>
      </c>
      <c r="L11" s="49">
        <v>310654</v>
      </c>
      <c r="M11" s="50">
        <f>ROUND(100*L11/K11,1)</f>
        <v>106.8</v>
      </c>
      <c r="N11" s="49"/>
      <c r="O11" s="2"/>
      <c r="P11" s="48" t="s">
        <v>990</v>
      </c>
      <c r="Q11" s="2" t="s">
        <v>992</v>
      </c>
      <c r="R11" s="2"/>
      <c r="S11" s="2"/>
      <c r="T11" s="51"/>
      <c r="U11" s="49">
        <v>1263413</v>
      </c>
      <c r="V11" s="52">
        <v>1303316</v>
      </c>
      <c r="W11" s="49">
        <v>1109382</v>
      </c>
      <c r="X11" s="52">
        <v>1372205</v>
      </c>
      <c r="Y11" s="53">
        <v>1347014</v>
      </c>
      <c r="Z11" s="54">
        <f>ROUND(100*Y11/X11,1)</f>
        <v>98.2</v>
      </c>
    </row>
    <row r="12" spans="1:26" ht="14.25">
      <c r="A12" s="47"/>
      <c r="B12" s="48" t="s">
        <v>993</v>
      </c>
      <c r="C12" s="2" t="s">
        <v>994</v>
      </c>
      <c r="D12" s="2"/>
      <c r="E12" s="2"/>
      <c r="F12" s="2"/>
      <c r="G12" s="2"/>
      <c r="H12" s="49">
        <v>728995</v>
      </c>
      <c r="I12" s="42">
        <v>648190</v>
      </c>
      <c r="J12" s="49">
        <v>577313</v>
      </c>
      <c r="K12" s="42">
        <v>699235</v>
      </c>
      <c r="L12" s="49">
        <v>699235</v>
      </c>
      <c r="M12" s="50">
        <f>ROUND(100*L12/K12,1)</f>
        <v>100</v>
      </c>
      <c r="N12" s="49"/>
      <c r="O12" s="2"/>
      <c r="P12" s="48" t="s">
        <v>993</v>
      </c>
      <c r="Q12" s="2" t="s">
        <v>995</v>
      </c>
      <c r="R12" s="2"/>
      <c r="S12" s="2"/>
      <c r="T12" s="51"/>
      <c r="U12" s="49">
        <v>397735</v>
      </c>
      <c r="V12" s="52">
        <v>358523</v>
      </c>
      <c r="W12" s="49">
        <v>289215</v>
      </c>
      <c r="X12" s="52">
        <v>332786</v>
      </c>
      <c r="Y12" s="53">
        <v>326047</v>
      </c>
      <c r="Z12" s="54">
        <f>ROUND(100*Y12/X12,1)</f>
        <v>98</v>
      </c>
    </row>
    <row r="13" spans="1:26" ht="14.25">
      <c r="A13" s="47"/>
      <c r="B13" s="48" t="s">
        <v>996</v>
      </c>
      <c r="C13" s="2" t="s">
        <v>997</v>
      </c>
      <c r="D13" s="2"/>
      <c r="E13" s="2"/>
      <c r="F13" s="2"/>
      <c r="G13" s="2"/>
      <c r="H13" s="49">
        <v>1467388</v>
      </c>
      <c r="I13" s="42">
        <v>1421295</v>
      </c>
      <c r="J13" s="49">
        <v>973597</v>
      </c>
      <c r="K13" s="42">
        <v>1393142</v>
      </c>
      <c r="L13" s="49">
        <v>1393142</v>
      </c>
      <c r="M13" s="50">
        <f>ROUND(100*L13/K13,1)</f>
        <v>100</v>
      </c>
      <c r="N13" s="49"/>
      <c r="O13" s="2"/>
      <c r="P13" s="48" t="s">
        <v>996</v>
      </c>
      <c r="Q13" s="2" t="s">
        <v>998</v>
      </c>
      <c r="R13" s="2"/>
      <c r="S13" s="2"/>
      <c r="T13" s="51"/>
      <c r="U13" s="49">
        <v>637579</v>
      </c>
      <c r="V13" s="52">
        <v>625535</v>
      </c>
      <c r="W13" s="49">
        <v>641589</v>
      </c>
      <c r="X13" s="52">
        <v>772643</v>
      </c>
      <c r="Y13" s="53">
        <v>682748</v>
      </c>
      <c r="Z13" s="54">
        <f>ROUND(100*Y13/X13,1)</f>
        <v>88.4</v>
      </c>
    </row>
    <row r="14" spans="1:26" ht="14.25">
      <c r="A14" s="47"/>
      <c r="B14" s="48" t="s">
        <v>999</v>
      </c>
      <c r="C14" s="2" t="s">
        <v>1000</v>
      </c>
      <c r="D14" s="2"/>
      <c r="E14" s="2"/>
      <c r="F14" s="2"/>
      <c r="G14" s="2"/>
      <c r="H14" s="49">
        <v>28609</v>
      </c>
      <c r="I14" s="42">
        <v>29030</v>
      </c>
      <c r="J14" s="49">
        <v>27526</v>
      </c>
      <c r="K14" s="42">
        <v>28404</v>
      </c>
      <c r="L14" s="49">
        <v>28638</v>
      </c>
      <c r="M14" s="50">
        <f>ROUND(100*L14/K14,1)</f>
        <v>100.8</v>
      </c>
      <c r="N14" s="49"/>
      <c r="O14" s="2"/>
      <c r="P14" s="48" t="s">
        <v>999</v>
      </c>
      <c r="Q14" s="2" t="s">
        <v>1001</v>
      </c>
      <c r="R14" s="2"/>
      <c r="S14" s="2"/>
      <c r="T14" s="51"/>
      <c r="U14" s="49">
        <v>278254</v>
      </c>
      <c r="V14" s="52">
        <v>218263</v>
      </c>
      <c r="W14" s="49">
        <v>83360</v>
      </c>
      <c r="X14" s="52">
        <v>235636</v>
      </c>
      <c r="Y14" s="53">
        <f>1587061-1356512</f>
        <v>230549</v>
      </c>
      <c r="Z14" s="54">
        <f>ROUND(100*Y14/X14,1)</f>
        <v>97.8</v>
      </c>
    </row>
    <row r="15" spans="1:26" ht="14.25">
      <c r="A15" s="47"/>
      <c r="B15" s="48"/>
      <c r="C15" s="2" t="s">
        <v>1002</v>
      </c>
      <c r="D15" s="2"/>
      <c r="E15" s="2"/>
      <c r="F15" s="2"/>
      <c r="G15" s="51"/>
      <c r="H15" s="49"/>
      <c r="I15" s="42"/>
      <c r="J15" s="49"/>
      <c r="K15" s="42"/>
      <c r="L15" s="49">
        <v>0</v>
      </c>
      <c r="M15" s="50"/>
      <c r="N15" s="49"/>
      <c r="O15" s="2"/>
      <c r="P15" s="48" t="s">
        <v>1003</v>
      </c>
      <c r="Q15" s="2" t="s">
        <v>1004</v>
      </c>
      <c r="R15" s="2"/>
      <c r="S15" s="2"/>
      <c r="T15" s="51"/>
      <c r="U15" s="49">
        <v>22475</v>
      </c>
      <c r="V15" s="52">
        <v>24879</v>
      </c>
      <c r="W15" s="49">
        <v>4447</v>
      </c>
      <c r="X15" s="52">
        <v>32074</v>
      </c>
      <c r="Y15" s="53">
        <v>32029</v>
      </c>
      <c r="Z15" s="54">
        <f>ROUND(100*Y15/X15,1)</f>
        <v>99.9</v>
      </c>
    </row>
    <row r="16" spans="1:28" ht="14.25">
      <c r="A16" s="47"/>
      <c r="B16" s="48" t="s">
        <v>1003</v>
      </c>
      <c r="C16" s="2" t="s">
        <v>1005</v>
      </c>
      <c r="D16" s="2"/>
      <c r="E16" s="2"/>
      <c r="F16" s="2"/>
      <c r="G16" s="51"/>
      <c r="H16" s="49">
        <v>244663</v>
      </c>
      <c r="I16" s="42">
        <v>186766</v>
      </c>
      <c r="J16" s="49">
        <v>107061</v>
      </c>
      <c r="K16" s="42">
        <v>237761</v>
      </c>
      <c r="L16" s="49">
        <v>239521</v>
      </c>
      <c r="M16" s="50">
        <f>ROUND(100*L16/K16,1)</f>
        <v>100.7</v>
      </c>
      <c r="N16" s="49"/>
      <c r="O16" s="2"/>
      <c r="P16" s="48" t="s">
        <v>1006</v>
      </c>
      <c r="Q16" s="2" t="s">
        <v>1007</v>
      </c>
      <c r="R16" s="2"/>
      <c r="S16" s="2"/>
      <c r="T16" s="51"/>
      <c r="U16" s="49"/>
      <c r="V16" s="52"/>
      <c r="W16" s="49"/>
      <c r="X16" s="52">
        <v>2852</v>
      </c>
      <c r="Y16" s="53"/>
      <c r="Z16" s="54"/>
      <c r="AB16" s="55"/>
    </row>
    <row r="17" spans="1:26" ht="14.25">
      <c r="A17" s="47"/>
      <c r="B17" s="48" t="s">
        <v>1006</v>
      </c>
      <c r="C17" s="2" t="s">
        <v>1008</v>
      </c>
      <c r="D17" s="2"/>
      <c r="E17" s="2"/>
      <c r="F17" s="2"/>
      <c r="G17" s="51"/>
      <c r="H17" s="49"/>
      <c r="I17" s="42">
        <v>101937</v>
      </c>
      <c r="J17" s="49">
        <v>173541</v>
      </c>
      <c r="K17" s="42">
        <v>84949</v>
      </c>
      <c r="L17" s="49"/>
      <c r="M17" s="50"/>
      <c r="N17" s="49"/>
      <c r="O17" s="2"/>
      <c r="P17" s="48" t="s">
        <v>1009</v>
      </c>
      <c r="Q17" s="2" t="s">
        <v>1010</v>
      </c>
      <c r="R17" s="2"/>
      <c r="S17" s="2"/>
      <c r="T17" s="51"/>
      <c r="U17" s="49">
        <v>-7630</v>
      </c>
      <c r="V17" s="52">
        <v>-28436</v>
      </c>
      <c r="W17" s="49"/>
      <c r="X17" s="52"/>
      <c r="Y17" s="53">
        <v>-6072</v>
      </c>
      <c r="Z17" s="54"/>
    </row>
    <row r="18" spans="1:26" ht="14.25">
      <c r="A18" s="47"/>
      <c r="B18" s="48" t="s">
        <v>1009</v>
      </c>
      <c r="C18" s="2" t="s">
        <v>1011</v>
      </c>
      <c r="D18" s="2"/>
      <c r="E18" s="2"/>
      <c r="F18" s="2"/>
      <c r="G18" s="51"/>
      <c r="H18" s="49">
        <v>4230</v>
      </c>
      <c r="I18" s="42">
        <v>26879</v>
      </c>
      <c r="J18" s="49"/>
      <c r="K18" s="42">
        <v>85580</v>
      </c>
      <c r="L18" s="49">
        <v>174354</v>
      </c>
      <c r="M18" s="50">
        <f>ROUND(100*L18/K18,1)</f>
        <v>203.7</v>
      </c>
      <c r="N18" s="49"/>
      <c r="O18" s="2"/>
      <c r="P18" s="48" t="s">
        <v>1012</v>
      </c>
      <c r="Q18" s="2" t="s">
        <v>1013</v>
      </c>
      <c r="R18" s="2"/>
      <c r="S18" s="2"/>
      <c r="T18" s="51"/>
      <c r="U18" s="49">
        <v>840</v>
      </c>
      <c r="V18" s="52">
        <v>47469</v>
      </c>
      <c r="W18" s="49"/>
      <c r="X18" s="52">
        <v>1340</v>
      </c>
      <c r="Y18" s="53">
        <v>1340</v>
      </c>
      <c r="Z18" s="54">
        <f>ROUND(100*Y18/X18,1)</f>
        <v>100</v>
      </c>
    </row>
    <row r="19" spans="1:26" ht="14.25">
      <c r="A19" s="47"/>
      <c r="B19" s="48"/>
      <c r="C19" s="2" t="s">
        <v>1014</v>
      </c>
      <c r="D19" s="2"/>
      <c r="E19" s="2"/>
      <c r="F19" s="2"/>
      <c r="G19" s="51"/>
      <c r="H19" s="49"/>
      <c r="I19" s="42"/>
      <c r="J19" s="49"/>
      <c r="K19" s="42"/>
      <c r="L19" s="49">
        <v>0</v>
      </c>
      <c r="M19" s="50"/>
      <c r="N19" s="49"/>
      <c r="O19" s="2"/>
      <c r="P19" s="48" t="s">
        <v>1015</v>
      </c>
      <c r="Q19" s="2" t="s">
        <v>1016</v>
      </c>
      <c r="R19" s="2"/>
      <c r="S19" s="2"/>
      <c r="T19" s="51"/>
      <c r="U19" s="49"/>
      <c r="V19" s="52"/>
      <c r="W19" s="49"/>
      <c r="X19" s="52">
        <v>87106</v>
      </c>
      <c r="Y19" s="53"/>
      <c r="Z19" s="54"/>
    </row>
    <row r="20" spans="1:26" ht="14.25">
      <c r="A20" s="47"/>
      <c r="B20" s="48" t="s">
        <v>1012</v>
      </c>
      <c r="C20" s="2" t="s">
        <v>1017</v>
      </c>
      <c r="D20" s="2"/>
      <c r="E20" s="2"/>
      <c r="F20" s="2"/>
      <c r="G20" s="51"/>
      <c r="H20" s="49"/>
      <c r="I20" s="42"/>
      <c r="J20" s="49"/>
      <c r="K20" s="42"/>
      <c r="L20" s="49">
        <v>0</v>
      </c>
      <c r="M20" s="50"/>
      <c r="N20" s="49"/>
      <c r="O20" s="2"/>
      <c r="P20" s="48" t="s">
        <v>1018</v>
      </c>
      <c r="Q20" s="2" t="s">
        <v>1019</v>
      </c>
      <c r="R20" s="2"/>
      <c r="S20" s="2"/>
      <c r="T20" s="51"/>
      <c r="U20" s="49"/>
      <c r="V20" s="52">
        <v>39604</v>
      </c>
      <c r="W20" s="49"/>
      <c r="X20" s="52"/>
      <c r="Y20" s="53">
        <v>125678</v>
      </c>
      <c r="Z20" s="54"/>
    </row>
    <row r="21" spans="1:26" ht="14.25">
      <c r="A21" s="47"/>
      <c r="B21" s="48"/>
      <c r="C21" s="2" t="s">
        <v>1020</v>
      </c>
      <c r="D21" s="2"/>
      <c r="E21" s="2"/>
      <c r="F21" s="2"/>
      <c r="G21" s="51"/>
      <c r="H21" s="49"/>
      <c r="I21" s="42"/>
      <c r="J21" s="49"/>
      <c r="K21" s="42"/>
      <c r="L21" s="49">
        <v>0</v>
      </c>
      <c r="M21" s="50"/>
      <c r="N21" s="49"/>
      <c r="O21" s="2"/>
      <c r="P21" s="48" t="s">
        <v>1021</v>
      </c>
      <c r="Q21" s="2" t="s">
        <v>1022</v>
      </c>
      <c r="R21" s="2"/>
      <c r="S21" s="2"/>
      <c r="T21" s="51"/>
      <c r="U21" s="49"/>
      <c r="V21" s="52"/>
      <c r="W21" s="49"/>
      <c r="X21" s="52"/>
      <c r="Y21" s="53">
        <v>232</v>
      </c>
      <c r="Z21" s="54"/>
    </row>
    <row r="22" spans="1:26" ht="14.25">
      <c r="A22" s="47"/>
      <c r="B22" s="48" t="s">
        <v>1015</v>
      </c>
      <c r="C22" s="2" t="s">
        <v>1023</v>
      </c>
      <c r="D22" s="2"/>
      <c r="E22" s="2"/>
      <c r="F22" s="2"/>
      <c r="G22" s="51"/>
      <c r="H22" s="49">
        <v>9663</v>
      </c>
      <c r="I22" s="42">
        <v>-58395</v>
      </c>
      <c r="J22" s="49"/>
      <c r="K22" s="42"/>
      <c r="L22" s="49">
        <v>-10230</v>
      </c>
      <c r="M22" s="50"/>
      <c r="N22" s="49"/>
      <c r="O22" s="2"/>
      <c r="P22" s="2"/>
      <c r="Q22" s="2"/>
      <c r="R22" s="2"/>
      <c r="S22" s="2"/>
      <c r="T22" s="51"/>
      <c r="U22" s="49"/>
      <c r="V22" s="52"/>
      <c r="W22" s="49"/>
      <c r="X22" s="52"/>
      <c r="Y22" s="53"/>
      <c r="Z22" s="54"/>
    </row>
    <row r="23" spans="1:26" ht="14.25">
      <c r="A23" s="47"/>
      <c r="B23" s="48" t="s">
        <v>1018</v>
      </c>
      <c r="C23" s="2" t="s">
        <v>1024</v>
      </c>
      <c r="D23" s="2"/>
      <c r="E23" s="2"/>
      <c r="F23" s="2"/>
      <c r="G23" s="51"/>
      <c r="H23" s="49">
        <v>7422</v>
      </c>
      <c r="I23" s="42">
        <v>8383</v>
      </c>
      <c r="J23" s="49"/>
      <c r="K23" s="42">
        <v>16794</v>
      </c>
      <c r="L23" s="49">
        <v>17405</v>
      </c>
      <c r="M23" s="50">
        <f>ROUND(100*L23/K23,1)</f>
        <v>103.6</v>
      </c>
      <c r="N23" s="49"/>
      <c r="O23" s="2"/>
      <c r="P23" s="2"/>
      <c r="Q23" s="2"/>
      <c r="R23" s="2"/>
      <c r="S23" s="2"/>
      <c r="T23" s="51"/>
      <c r="U23" s="49"/>
      <c r="V23" s="52"/>
      <c r="W23" s="49"/>
      <c r="X23" s="52"/>
      <c r="Y23" s="53"/>
      <c r="Z23" s="54"/>
    </row>
    <row r="24" spans="1:26" ht="14.25">
      <c r="A24" s="47"/>
      <c r="B24" s="48" t="s">
        <v>1021</v>
      </c>
      <c r="C24" s="2" t="s">
        <v>1025</v>
      </c>
      <c r="D24" s="2"/>
      <c r="E24" s="2"/>
      <c r="F24" s="2"/>
      <c r="G24" s="51"/>
      <c r="H24" s="49">
        <v>540</v>
      </c>
      <c r="I24" s="42">
        <v>939</v>
      </c>
      <c r="J24" s="49"/>
      <c r="K24" s="42"/>
      <c r="L24" s="49">
        <v>974</v>
      </c>
      <c r="M24" s="50"/>
      <c r="N24" s="49"/>
      <c r="O24" s="2"/>
      <c r="P24" s="2"/>
      <c r="Q24" s="2"/>
      <c r="R24" s="2"/>
      <c r="S24" s="2"/>
      <c r="T24" s="51"/>
      <c r="U24" s="49"/>
      <c r="V24" s="52"/>
      <c r="W24" s="49"/>
      <c r="X24" s="52"/>
      <c r="Y24" s="53"/>
      <c r="Z24" s="54"/>
    </row>
    <row r="25" spans="1:26" ht="14.25">
      <c r="A25" s="47"/>
      <c r="B25" s="48" t="s">
        <v>1026</v>
      </c>
      <c r="C25" s="2" t="s">
        <v>1027</v>
      </c>
      <c r="D25" s="2"/>
      <c r="E25" s="2"/>
      <c r="F25" s="2"/>
      <c r="G25" s="51"/>
      <c r="H25" s="49"/>
      <c r="I25" s="42">
        <v>39604</v>
      </c>
      <c r="J25" s="49"/>
      <c r="K25" s="42"/>
      <c r="L25" s="49">
        <v>126769</v>
      </c>
      <c r="M25" s="50"/>
      <c r="N25" s="49"/>
      <c r="O25" s="2"/>
      <c r="P25" s="2"/>
      <c r="Q25" s="2"/>
      <c r="R25" s="2"/>
      <c r="S25" s="2"/>
      <c r="T25" s="51"/>
      <c r="U25" s="49"/>
      <c r="V25" s="52"/>
      <c r="W25" s="49"/>
      <c r="X25" s="52"/>
      <c r="Y25" s="53"/>
      <c r="Z25" s="54"/>
    </row>
    <row r="26" spans="1:26" ht="14.25">
      <c r="A26" s="47"/>
      <c r="B26" s="48" t="s">
        <v>1028</v>
      </c>
      <c r="C26" s="2" t="s">
        <v>1029</v>
      </c>
      <c r="D26" s="2"/>
      <c r="E26" s="2"/>
      <c r="F26" s="2"/>
      <c r="G26" s="51"/>
      <c r="H26" s="49"/>
      <c r="I26" s="42"/>
      <c r="J26" s="49"/>
      <c r="K26" s="42"/>
      <c r="L26" s="49">
        <v>232</v>
      </c>
      <c r="M26" s="50"/>
      <c r="N26" s="49"/>
      <c r="O26" s="2"/>
      <c r="P26" s="2"/>
      <c r="Q26" s="2"/>
      <c r="R26" s="2"/>
      <c r="S26" s="2"/>
      <c r="T26" s="51"/>
      <c r="U26" s="49"/>
      <c r="V26" s="52"/>
      <c r="W26" s="49"/>
      <c r="X26" s="52"/>
      <c r="Y26" s="53"/>
      <c r="Z26" s="54"/>
    </row>
    <row r="27" spans="1:26" ht="14.25">
      <c r="A27" s="47" t="s">
        <v>987</v>
      </c>
      <c r="B27" s="2" t="s">
        <v>988</v>
      </c>
      <c r="C27" s="2"/>
      <c r="D27" s="2"/>
      <c r="E27" s="2"/>
      <c r="F27" s="2"/>
      <c r="G27" s="51"/>
      <c r="H27" s="49">
        <f>SUM(H11:H25)</f>
        <v>2761275</v>
      </c>
      <c r="I27" s="49">
        <f>SUM(I11:I25)</f>
        <v>2715811</v>
      </c>
      <c r="J27" s="49">
        <f>SUM(J11:J25)</f>
        <v>2127993</v>
      </c>
      <c r="K27" s="42">
        <f>SUM(K11:K25)</f>
        <v>2836642</v>
      </c>
      <c r="L27" s="49">
        <f>SUM(L11:L26)</f>
        <v>2980694</v>
      </c>
      <c r="M27" s="50">
        <f>ROUND(100*L27/K27,1)</f>
        <v>105.1</v>
      </c>
      <c r="N27" s="49"/>
      <c r="O27" s="2" t="s">
        <v>987</v>
      </c>
      <c r="P27" s="2" t="s">
        <v>989</v>
      </c>
      <c r="Q27" s="2"/>
      <c r="R27" s="2"/>
      <c r="S27" s="2"/>
      <c r="T27" s="51"/>
      <c r="U27" s="49">
        <f>SUM(U11:U25)</f>
        <v>2592666</v>
      </c>
      <c r="V27" s="56">
        <f>SUM(V11:V25)</f>
        <v>2589153</v>
      </c>
      <c r="W27" s="49">
        <f>SUM(W11:W25)</f>
        <v>2127993</v>
      </c>
      <c r="X27" s="52">
        <f>SUM(X11:X25)</f>
        <v>2836642</v>
      </c>
      <c r="Y27" s="53">
        <f>SUM(Y11:Y26)</f>
        <v>2739565</v>
      </c>
      <c r="Z27" s="54">
        <f>ROUND(100*Y27/X27,1)</f>
        <v>96.6</v>
      </c>
    </row>
    <row r="28" spans="1:26" ht="14.25">
      <c r="A28" s="47"/>
      <c r="B28" s="2"/>
      <c r="C28" s="2"/>
      <c r="D28" s="2"/>
      <c r="E28" s="2"/>
      <c r="F28" s="2"/>
      <c r="G28" s="51"/>
      <c r="H28" s="49"/>
      <c r="I28" s="49"/>
      <c r="J28" s="49"/>
      <c r="K28" s="42"/>
      <c r="L28" s="42"/>
      <c r="M28" s="49"/>
      <c r="N28" s="49"/>
      <c r="O28" s="2"/>
      <c r="P28" s="2"/>
      <c r="Q28" s="2"/>
      <c r="R28" s="2"/>
      <c r="S28" s="2"/>
      <c r="T28" s="51"/>
      <c r="U28" s="49"/>
      <c r="V28" s="56"/>
      <c r="W28" s="49"/>
      <c r="X28" s="52"/>
      <c r="Y28" s="57"/>
      <c r="Z28" s="34"/>
    </row>
    <row r="29" spans="1:26" ht="14.25">
      <c r="A29" s="47" t="s">
        <v>1030</v>
      </c>
      <c r="B29" s="2" t="s">
        <v>1031</v>
      </c>
      <c r="C29" s="2"/>
      <c r="D29" s="2"/>
      <c r="E29" s="2"/>
      <c r="F29" s="2"/>
      <c r="G29" s="51"/>
      <c r="H29" s="49"/>
      <c r="I29" s="49"/>
      <c r="J29" s="49"/>
      <c r="K29" s="42"/>
      <c r="L29" s="42"/>
      <c r="M29" s="49"/>
      <c r="N29" s="49"/>
      <c r="O29" s="2" t="s">
        <v>1030</v>
      </c>
      <c r="P29" s="2" t="s">
        <v>1032</v>
      </c>
      <c r="Q29" s="2"/>
      <c r="R29" s="2"/>
      <c r="S29" s="2"/>
      <c r="T29" s="51"/>
      <c r="U29" s="49"/>
      <c r="V29" s="56"/>
      <c r="W29" s="49"/>
      <c r="X29" s="52"/>
      <c r="Y29" s="57"/>
      <c r="Z29" s="34"/>
    </row>
    <row r="30" spans="1:26" ht="14.25">
      <c r="A30" s="47"/>
      <c r="B30" s="48" t="s">
        <v>1033</v>
      </c>
      <c r="C30" s="2" t="s">
        <v>1034</v>
      </c>
      <c r="D30" s="2"/>
      <c r="E30" s="2"/>
      <c r="F30" s="2"/>
      <c r="G30" s="51"/>
      <c r="H30" s="49">
        <v>21046</v>
      </c>
      <c r="I30" s="42">
        <v>17032</v>
      </c>
      <c r="J30" s="49">
        <v>56903</v>
      </c>
      <c r="K30" s="42">
        <v>8833</v>
      </c>
      <c r="L30" s="49">
        <v>18160</v>
      </c>
      <c r="M30" s="50">
        <f>ROUND(100*L30/K30,1)</f>
        <v>205.6</v>
      </c>
      <c r="N30" s="49"/>
      <c r="O30" s="2"/>
      <c r="P30" s="48" t="s">
        <v>1033</v>
      </c>
      <c r="Q30" s="2" t="s">
        <v>1035</v>
      </c>
      <c r="R30" s="2"/>
      <c r="S30" s="2"/>
      <c r="T30" s="51"/>
      <c r="U30" s="49">
        <v>6551</v>
      </c>
      <c r="V30" s="58">
        <v>14552</v>
      </c>
      <c r="W30" s="49">
        <v>35132</v>
      </c>
      <c r="X30" s="58">
        <v>51666</v>
      </c>
      <c r="Y30" s="53">
        <v>61085</v>
      </c>
      <c r="Z30" s="54">
        <f>ROUND(100*Y30/X30,1)</f>
        <v>118.2</v>
      </c>
    </row>
    <row r="31" spans="1:26" ht="14.25">
      <c r="A31" s="47"/>
      <c r="B31" s="48" t="s">
        <v>1036</v>
      </c>
      <c r="C31" s="2" t="s">
        <v>1037</v>
      </c>
      <c r="D31" s="2"/>
      <c r="E31" s="2"/>
      <c r="F31" s="2"/>
      <c r="G31" s="51"/>
      <c r="H31" s="49">
        <v>26017</v>
      </c>
      <c r="I31" s="42">
        <v>58453</v>
      </c>
      <c r="J31" s="49">
        <v>160752</v>
      </c>
      <c r="K31" s="42">
        <v>142176</v>
      </c>
      <c r="L31" s="49">
        <v>149465</v>
      </c>
      <c r="M31" s="50">
        <f>ROUND(100*L31/K31,1)</f>
        <v>105.1</v>
      </c>
      <c r="N31" s="49"/>
      <c r="O31" s="2"/>
      <c r="P31" s="48" t="s">
        <v>1036</v>
      </c>
      <c r="Q31" s="2" t="s">
        <v>1038</v>
      </c>
      <c r="R31" s="2"/>
      <c r="S31" s="2"/>
      <c r="T31" s="51"/>
      <c r="U31" s="49">
        <v>408057</v>
      </c>
      <c r="V31" s="58">
        <v>336951</v>
      </c>
      <c r="W31" s="49">
        <v>105406</v>
      </c>
      <c r="X31" s="58">
        <v>158148</v>
      </c>
      <c r="Y31" s="53">
        <v>148419</v>
      </c>
      <c r="Z31" s="54">
        <f>ROUND(100*Y31/X31,1)</f>
        <v>93.8</v>
      </c>
    </row>
    <row r="32" spans="1:26" ht="14.25">
      <c r="A32" s="47"/>
      <c r="B32" s="48" t="s">
        <v>1039</v>
      </c>
      <c r="C32" s="2" t="s">
        <v>1040</v>
      </c>
      <c r="D32" s="2"/>
      <c r="E32" s="2"/>
      <c r="F32" s="2"/>
      <c r="G32" s="51"/>
      <c r="H32" s="49"/>
      <c r="I32" s="42">
        <v>29041</v>
      </c>
      <c r="J32" s="49"/>
      <c r="K32" s="42"/>
      <c r="L32" s="49">
        <v>6001</v>
      </c>
      <c r="M32" s="50"/>
      <c r="N32" s="49"/>
      <c r="O32" s="2"/>
      <c r="P32" s="48" t="s">
        <v>1039</v>
      </c>
      <c r="Q32" s="2" t="s">
        <v>1041</v>
      </c>
      <c r="R32" s="2"/>
      <c r="S32" s="2"/>
      <c r="T32" s="51"/>
      <c r="U32" s="49">
        <v>64263</v>
      </c>
      <c r="V32" s="58">
        <v>93891</v>
      </c>
      <c r="W32" s="49">
        <v>87662</v>
      </c>
      <c r="X32" s="58">
        <v>36494</v>
      </c>
      <c r="Y32" s="53">
        <f>49792-14015</f>
        <v>35777</v>
      </c>
      <c r="Z32" s="54">
        <f>ROUND(100*Y32/X32,1)</f>
        <v>98</v>
      </c>
    </row>
    <row r="33" spans="1:26" ht="14.25">
      <c r="A33" s="47"/>
      <c r="B33" s="48" t="s">
        <v>1042</v>
      </c>
      <c r="C33" s="2" t="s">
        <v>1043</v>
      </c>
      <c r="D33" s="2"/>
      <c r="E33" s="2"/>
      <c r="F33" s="2"/>
      <c r="G33" s="51"/>
      <c r="H33" s="49"/>
      <c r="I33" s="42"/>
      <c r="J33" s="49"/>
      <c r="K33" s="42"/>
      <c r="L33" s="49"/>
      <c r="M33" s="50"/>
      <c r="N33" s="49"/>
      <c r="O33" s="2"/>
      <c r="P33" s="48" t="s">
        <v>1042</v>
      </c>
      <c r="Q33" s="2" t="s">
        <v>1044</v>
      </c>
      <c r="R33" s="2"/>
      <c r="S33" s="2"/>
      <c r="T33" s="51"/>
      <c r="U33" s="49">
        <v>7934</v>
      </c>
      <c r="V33" s="58">
        <v>7934</v>
      </c>
      <c r="W33" s="49">
        <v>7934</v>
      </c>
      <c r="X33" s="58">
        <v>7934</v>
      </c>
      <c r="Y33" s="53">
        <v>7934</v>
      </c>
      <c r="Z33" s="54">
        <f>ROUND(100*Y33/X33,1)</f>
        <v>100</v>
      </c>
    </row>
    <row r="34" spans="1:26" ht="14.25">
      <c r="A34" s="47"/>
      <c r="B34" s="48" t="s">
        <v>1045</v>
      </c>
      <c r="C34" s="2" t="s">
        <v>1046</v>
      </c>
      <c r="D34" s="2"/>
      <c r="E34" s="2"/>
      <c r="F34" s="2"/>
      <c r="G34" s="51"/>
      <c r="H34" s="49"/>
      <c r="I34" s="42"/>
      <c r="J34" s="49"/>
      <c r="K34" s="42"/>
      <c r="L34" s="49"/>
      <c r="M34" s="50"/>
      <c r="N34" s="49"/>
      <c r="O34" s="2"/>
      <c r="P34" s="48" t="s">
        <v>1045</v>
      </c>
      <c r="Q34" s="2" t="s">
        <v>1047</v>
      </c>
      <c r="R34" s="2"/>
      <c r="S34" s="2"/>
      <c r="T34" s="51"/>
      <c r="U34" s="49">
        <v>6190</v>
      </c>
      <c r="V34" s="58">
        <v>5729</v>
      </c>
      <c r="W34" s="49">
        <v>6000</v>
      </c>
      <c r="X34" s="58">
        <v>27610</v>
      </c>
      <c r="Y34" s="53">
        <v>24621</v>
      </c>
      <c r="Z34" s="54">
        <f>ROUND(100*Y34/X34,1)</f>
        <v>89.2</v>
      </c>
    </row>
    <row r="35" spans="1:26" ht="14.25">
      <c r="A35" s="47"/>
      <c r="B35" s="48" t="s">
        <v>1048</v>
      </c>
      <c r="C35" s="2" t="s">
        <v>1049</v>
      </c>
      <c r="D35" s="2"/>
      <c r="E35" s="2"/>
      <c r="F35" s="2"/>
      <c r="G35" s="51"/>
      <c r="H35" s="49">
        <v>4981</v>
      </c>
      <c r="I35" s="42">
        <v>4989</v>
      </c>
      <c r="J35" s="49">
        <v>4600</v>
      </c>
      <c r="K35" s="42">
        <v>4742</v>
      </c>
      <c r="L35" s="49">
        <v>4742</v>
      </c>
      <c r="M35" s="50">
        <f>ROUND(100*L35/K35,1)</f>
        <v>100</v>
      </c>
      <c r="N35" s="49"/>
      <c r="O35" s="2"/>
      <c r="P35" s="48" t="s">
        <v>1048</v>
      </c>
      <c r="Q35" s="59" t="s">
        <v>1050</v>
      </c>
      <c r="R35" s="2"/>
      <c r="S35" s="2"/>
      <c r="T35" s="51"/>
      <c r="U35" s="49">
        <v>217</v>
      </c>
      <c r="V35" s="58"/>
      <c r="W35" s="49"/>
      <c r="X35" s="58"/>
      <c r="Y35" s="53"/>
      <c r="Z35" s="54"/>
    </row>
    <row r="36" spans="1:26" ht="14.25">
      <c r="A36" s="47"/>
      <c r="B36" s="48" t="s">
        <v>1051</v>
      </c>
      <c r="C36" s="2" t="s">
        <v>1052</v>
      </c>
      <c r="D36" s="2"/>
      <c r="E36" s="2"/>
      <c r="F36" s="2"/>
      <c r="G36" s="51"/>
      <c r="H36" s="49"/>
      <c r="I36" s="42"/>
      <c r="J36" s="49"/>
      <c r="K36" s="42"/>
      <c r="L36" s="49"/>
      <c r="M36" s="50"/>
      <c r="N36" s="49"/>
      <c r="O36" s="2"/>
      <c r="P36" s="48" t="s">
        <v>1051</v>
      </c>
      <c r="Q36" s="59" t="s">
        <v>1053</v>
      </c>
      <c r="R36" s="2"/>
      <c r="S36" s="2"/>
      <c r="T36" s="51"/>
      <c r="U36" s="49"/>
      <c r="V36" s="58"/>
      <c r="W36" s="49">
        <v>82579</v>
      </c>
      <c r="X36" s="58"/>
      <c r="Y36" s="53"/>
      <c r="Z36" s="54"/>
    </row>
    <row r="37" spans="1:26" ht="14.25">
      <c r="A37" s="47"/>
      <c r="B37" s="48"/>
      <c r="C37" s="2" t="s">
        <v>1054</v>
      </c>
      <c r="D37" s="2"/>
      <c r="E37" s="2"/>
      <c r="F37" s="2"/>
      <c r="G37" s="51"/>
      <c r="H37" s="49"/>
      <c r="I37" s="42"/>
      <c r="J37" s="49"/>
      <c r="K37" s="42"/>
      <c r="L37" s="49"/>
      <c r="M37" s="50"/>
      <c r="N37" s="49"/>
      <c r="O37" s="2"/>
      <c r="P37" s="48" t="s">
        <v>1055</v>
      </c>
      <c r="Q37" s="59" t="s">
        <v>1056</v>
      </c>
      <c r="R37" s="2"/>
      <c r="S37" s="2"/>
      <c r="T37" s="51"/>
      <c r="U37" s="49"/>
      <c r="V37" s="58">
        <v>2168</v>
      </c>
      <c r="W37" s="49"/>
      <c r="X37" s="58"/>
      <c r="Y37" s="53"/>
      <c r="Z37" s="54"/>
    </row>
    <row r="38" spans="1:26" ht="14.25">
      <c r="A38" s="47"/>
      <c r="B38" s="48" t="s">
        <v>1055</v>
      </c>
      <c r="C38" s="2" t="s">
        <v>1057</v>
      </c>
      <c r="D38" s="2"/>
      <c r="E38" s="2"/>
      <c r="F38" s="2"/>
      <c r="G38" s="51"/>
      <c r="H38" s="49">
        <v>249723</v>
      </c>
      <c r="I38" s="42">
        <v>41495</v>
      </c>
      <c r="J38" s="49">
        <v>20531</v>
      </c>
      <c r="K38" s="42">
        <v>79545</v>
      </c>
      <c r="L38" s="49">
        <v>79545</v>
      </c>
      <c r="M38" s="50">
        <f>ROUND(100*L38/K38,1)</f>
        <v>100</v>
      </c>
      <c r="N38" s="49"/>
      <c r="O38" s="2"/>
      <c r="P38" s="48" t="s">
        <v>1058</v>
      </c>
      <c r="Q38" s="59" t="s">
        <v>1059</v>
      </c>
      <c r="R38" s="2"/>
      <c r="S38" s="2"/>
      <c r="T38" s="51"/>
      <c r="U38" s="49"/>
      <c r="V38" s="58">
        <v>25074</v>
      </c>
      <c r="W38" s="49"/>
      <c r="X38" s="58"/>
      <c r="Y38" s="53"/>
      <c r="Z38" s="54"/>
    </row>
    <row r="39" spans="1:26" ht="14.25">
      <c r="A39" s="47"/>
      <c r="B39" s="48"/>
      <c r="C39" s="2" t="s">
        <v>1060</v>
      </c>
      <c r="D39" s="2"/>
      <c r="E39" s="2"/>
      <c r="F39" s="2"/>
      <c r="G39" s="51"/>
      <c r="H39" s="49"/>
      <c r="I39" s="42"/>
      <c r="J39" s="49"/>
      <c r="K39" s="42"/>
      <c r="L39" s="49"/>
      <c r="M39" s="50"/>
      <c r="N39" s="49"/>
      <c r="O39" s="2"/>
      <c r="P39" s="48"/>
      <c r="Q39" s="59" t="s">
        <v>1061</v>
      </c>
      <c r="R39" s="2"/>
      <c r="S39" s="2"/>
      <c r="T39" s="51"/>
      <c r="U39" s="49"/>
      <c r="V39" s="58"/>
      <c r="W39" s="49"/>
      <c r="X39" s="58"/>
      <c r="Y39" s="53"/>
      <c r="Z39" s="54"/>
    </row>
    <row r="40" spans="1:26" ht="14.25">
      <c r="A40" s="47"/>
      <c r="B40" s="48" t="s">
        <v>1058</v>
      </c>
      <c r="C40" s="2" t="s">
        <v>1017</v>
      </c>
      <c r="D40" s="2"/>
      <c r="E40" s="2"/>
      <c r="F40" s="2"/>
      <c r="G40" s="51"/>
      <c r="H40" s="49">
        <v>219019</v>
      </c>
      <c r="I40" s="42">
        <v>124382</v>
      </c>
      <c r="J40" s="49"/>
      <c r="K40" s="42">
        <v>136466</v>
      </c>
      <c r="L40" s="49">
        <v>136466</v>
      </c>
      <c r="M40" s="50">
        <f>ROUND(100*L40/K40,1)</f>
        <v>100</v>
      </c>
      <c r="N40" s="49"/>
      <c r="O40" s="2"/>
      <c r="P40" s="48" t="s">
        <v>1062</v>
      </c>
      <c r="Q40" s="59" t="s">
        <v>1063</v>
      </c>
      <c r="R40" s="2"/>
      <c r="S40" s="2"/>
      <c r="T40" s="51"/>
      <c r="U40" s="49"/>
      <c r="V40" s="58">
        <v>7000</v>
      </c>
      <c r="W40" s="49"/>
      <c r="X40" s="58"/>
      <c r="Y40" s="53"/>
      <c r="Z40" s="54"/>
    </row>
    <row r="41" spans="1:26" ht="14.25">
      <c r="A41" s="47"/>
      <c r="B41" s="48" t="s">
        <v>1062</v>
      </c>
      <c r="C41" s="2" t="s">
        <v>1064</v>
      </c>
      <c r="D41" s="2"/>
      <c r="E41" s="2"/>
      <c r="F41" s="2"/>
      <c r="G41" s="51"/>
      <c r="H41" s="49"/>
      <c r="I41" s="42"/>
      <c r="J41" s="49">
        <v>81927</v>
      </c>
      <c r="K41" s="42">
        <v>144806</v>
      </c>
      <c r="L41" s="49"/>
      <c r="M41" s="50"/>
      <c r="N41" s="49"/>
      <c r="O41" s="2"/>
      <c r="P41" s="48" t="s">
        <v>1065</v>
      </c>
      <c r="Q41" s="59" t="s">
        <v>1066</v>
      </c>
      <c r="R41" s="2"/>
      <c r="S41" s="2"/>
      <c r="T41" s="51"/>
      <c r="U41" s="49"/>
      <c r="V41" s="58"/>
      <c r="W41" s="49"/>
      <c r="X41" s="58">
        <v>296465</v>
      </c>
      <c r="Y41" s="53">
        <v>296465</v>
      </c>
      <c r="Z41" s="54">
        <f>ROUND(100*Y41/X41,1)</f>
        <v>100</v>
      </c>
    </row>
    <row r="42" spans="1:26" ht="14.25">
      <c r="A42" s="47"/>
      <c r="B42" s="48" t="s">
        <v>1065</v>
      </c>
      <c r="C42" s="2" t="s">
        <v>1067</v>
      </c>
      <c r="D42" s="2"/>
      <c r="E42" s="2"/>
      <c r="F42" s="2"/>
      <c r="G42" s="51"/>
      <c r="H42" s="49"/>
      <c r="I42" s="42">
        <v>399825</v>
      </c>
      <c r="J42" s="49"/>
      <c r="K42" s="42"/>
      <c r="L42" s="49"/>
      <c r="M42" s="50"/>
      <c r="N42" s="49"/>
      <c r="O42" s="2"/>
      <c r="P42" s="2"/>
      <c r="Q42" s="59"/>
      <c r="R42" s="2"/>
      <c r="S42" s="2"/>
      <c r="T42" s="51"/>
      <c r="U42" s="49"/>
      <c r="V42" s="58"/>
      <c r="W42" s="49"/>
      <c r="X42" s="58"/>
      <c r="Y42" s="53"/>
      <c r="Z42" s="54"/>
    </row>
    <row r="43" spans="1:26" ht="14.25">
      <c r="A43" s="47"/>
      <c r="B43" s="48" t="s">
        <v>1068</v>
      </c>
      <c r="C43" s="2" t="s">
        <v>1069</v>
      </c>
      <c r="D43" s="2"/>
      <c r="E43" s="2"/>
      <c r="F43" s="2"/>
      <c r="G43" s="51"/>
      <c r="H43" s="49"/>
      <c r="I43" s="42"/>
      <c r="J43" s="49"/>
      <c r="K43" s="42"/>
      <c r="L43" s="49"/>
      <c r="M43" s="50"/>
      <c r="N43" s="49"/>
      <c r="O43" s="2"/>
      <c r="P43" s="2"/>
      <c r="Q43" s="59"/>
      <c r="R43" s="2"/>
      <c r="S43" s="2"/>
      <c r="T43" s="51"/>
      <c r="U43" s="49"/>
      <c r="V43" s="58"/>
      <c r="W43" s="49"/>
      <c r="X43" s="58"/>
      <c r="Y43" s="53"/>
      <c r="Z43" s="54"/>
    </row>
    <row r="44" spans="1:26" ht="14.25">
      <c r="A44" s="47"/>
      <c r="B44" s="48" t="s">
        <v>1070</v>
      </c>
      <c r="C44" s="2" t="s">
        <v>1071</v>
      </c>
      <c r="D44" s="2"/>
      <c r="E44" s="2"/>
      <c r="F44" s="2"/>
      <c r="G44" s="51"/>
      <c r="H44" s="49">
        <v>242</v>
      </c>
      <c r="I44" s="42"/>
      <c r="J44" s="49"/>
      <c r="K44" s="42"/>
      <c r="L44" s="49"/>
      <c r="M44" s="50"/>
      <c r="N44" s="49"/>
      <c r="O44" s="2"/>
      <c r="P44" s="2"/>
      <c r="Q44" s="2"/>
      <c r="R44" s="2"/>
      <c r="S44" s="2"/>
      <c r="T44" s="51"/>
      <c r="U44" s="49"/>
      <c r="V44" s="58"/>
      <c r="W44" s="49"/>
      <c r="X44" s="58"/>
      <c r="Y44" s="53"/>
      <c r="Z44" s="54"/>
    </row>
    <row r="45" spans="1:26" ht="14.25">
      <c r="A45" s="47"/>
      <c r="B45" s="48" t="s">
        <v>1072</v>
      </c>
      <c r="C45" s="2" t="s">
        <v>1073</v>
      </c>
      <c r="D45" s="2"/>
      <c r="E45" s="2"/>
      <c r="F45" s="2"/>
      <c r="G45" s="51"/>
      <c r="H45" s="49"/>
      <c r="I45" s="42"/>
      <c r="J45" s="49"/>
      <c r="K45" s="42">
        <v>61749</v>
      </c>
      <c r="L45" s="49">
        <v>61749</v>
      </c>
      <c r="M45" s="50">
        <f>ROUND(100*L45/K45,1)</f>
        <v>100</v>
      </c>
      <c r="N45" s="49"/>
      <c r="O45" s="2"/>
      <c r="P45" s="2"/>
      <c r="Q45" s="2"/>
      <c r="R45" s="2"/>
      <c r="S45" s="2"/>
      <c r="T45" s="51"/>
      <c r="U45" s="49"/>
      <c r="V45" s="58"/>
      <c r="W45" s="49"/>
      <c r="X45" s="58"/>
      <c r="Y45" s="53"/>
      <c r="Z45" s="54"/>
    </row>
    <row r="46" spans="1:26" ht="14.25">
      <c r="A46" s="47" t="s">
        <v>1030</v>
      </c>
      <c r="B46" s="2" t="s">
        <v>1031</v>
      </c>
      <c r="C46" s="2"/>
      <c r="D46" s="2"/>
      <c r="E46" s="2"/>
      <c r="F46" s="2"/>
      <c r="G46" s="51"/>
      <c r="H46" s="49">
        <f>SUM(H30:H45)</f>
        <v>521028</v>
      </c>
      <c r="I46" s="49">
        <f>SUM(I30:I45)</f>
        <v>675217</v>
      </c>
      <c r="J46" s="49">
        <f>SUM(J30:J45)</f>
        <v>324713</v>
      </c>
      <c r="K46" s="42">
        <f>SUM(K30:K45)</f>
        <v>578317</v>
      </c>
      <c r="L46" s="42">
        <f>SUM(L30:L45)</f>
        <v>456128</v>
      </c>
      <c r="M46" s="50">
        <f>ROUND(100*L46/K46,1)</f>
        <v>78.9</v>
      </c>
      <c r="N46" s="49"/>
      <c r="O46" s="2" t="s">
        <v>1030</v>
      </c>
      <c r="P46" s="2" t="s">
        <v>1032</v>
      </c>
      <c r="Q46" s="2"/>
      <c r="R46" s="2"/>
      <c r="S46" s="2"/>
      <c r="T46" s="51"/>
      <c r="U46" s="49">
        <f>SUM(U30:U45)</f>
        <v>493212</v>
      </c>
      <c r="V46" s="49">
        <f>SUM(V30:V45)</f>
        <v>493299</v>
      </c>
      <c r="W46" s="49">
        <f>SUM(W30:W45)</f>
        <v>324713</v>
      </c>
      <c r="X46" s="58">
        <f>SUM(X30:X45)</f>
        <v>578317</v>
      </c>
      <c r="Y46" s="53">
        <f>SUM(Y30:Y45)</f>
        <v>574301</v>
      </c>
      <c r="Z46" s="54">
        <f>ROUND(100*Y46/X46,1)</f>
        <v>99.3</v>
      </c>
    </row>
    <row r="47" spans="1:26" ht="14.25">
      <c r="A47" s="47"/>
      <c r="B47" s="2"/>
      <c r="C47" s="2"/>
      <c r="D47" s="2"/>
      <c r="E47" s="2"/>
      <c r="F47" s="2"/>
      <c r="G47" s="51"/>
      <c r="H47" s="49"/>
      <c r="I47" s="49"/>
      <c r="J47" s="49"/>
      <c r="K47" s="42"/>
      <c r="L47" s="42"/>
      <c r="M47" s="50"/>
      <c r="N47" s="49"/>
      <c r="O47" s="2"/>
      <c r="P47" s="2"/>
      <c r="Q47" s="2"/>
      <c r="R47" s="2"/>
      <c r="S47" s="2"/>
      <c r="T47" s="51"/>
      <c r="U47" s="49"/>
      <c r="V47" s="49"/>
      <c r="W47" s="49"/>
      <c r="X47" s="58"/>
      <c r="Y47" s="53"/>
      <c r="Z47" s="54"/>
    </row>
    <row r="48" spans="1:26" ht="14.25">
      <c r="A48" s="47" t="s">
        <v>1074</v>
      </c>
      <c r="B48" s="2" t="s">
        <v>1075</v>
      </c>
      <c r="C48" s="2"/>
      <c r="D48" s="2"/>
      <c r="E48" s="2"/>
      <c r="F48" s="2"/>
      <c r="G48" s="51"/>
      <c r="H48" s="49"/>
      <c r="I48" s="49"/>
      <c r="J48" s="49"/>
      <c r="K48" s="42"/>
      <c r="L48" s="42"/>
      <c r="M48" s="50"/>
      <c r="N48" s="49"/>
      <c r="O48" s="2" t="s">
        <v>1074</v>
      </c>
      <c r="P48" s="2" t="s">
        <v>1076</v>
      </c>
      <c r="Q48" s="2"/>
      <c r="R48" s="2"/>
      <c r="S48" s="2"/>
      <c r="T48" s="51"/>
      <c r="U48" s="49">
        <v>196425</v>
      </c>
      <c r="V48" s="49">
        <v>308576</v>
      </c>
      <c r="W48" s="49"/>
      <c r="X48" s="58"/>
      <c r="Y48" s="53">
        <v>122956</v>
      </c>
      <c r="Z48" s="54"/>
    </row>
    <row r="49" spans="1:26" ht="14.25">
      <c r="A49" s="60"/>
      <c r="B49" s="2"/>
      <c r="C49" s="2"/>
      <c r="D49" s="2"/>
      <c r="E49" s="2"/>
      <c r="F49" s="2"/>
      <c r="G49" s="51"/>
      <c r="H49" s="49"/>
      <c r="I49" s="49"/>
      <c r="J49" s="49"/>
      <c r="K49" s="42"/>
      <c r="L49" s="42"/>
      <c r="M49" s="50"/>
      <c r="N49" s="49"/>
      <c r="O49" s="2"/>
      <c r="P49" s="2"/>
      <c r="Q49" s="2"/>
      <c r="R49" s="2"/>
      <c r="S49" s="2"/>
      <c r="T49" s="51"/>
      <c r="U49" s="49"/>
      <c r="V49" s="49"/>
      <c r="W49" s="49"/>
      <c r="X49" s="58"/>
      <c r="Y49" s="53"/>
      <c r="Z49" s="54"/>
    </row>
    <row r="50" spans="1:26" ht="15">
      <c r="A50" s="61" t="s">
        <v>1077</v>
      </c>
      <c r="B50" s="62"/>
      <c r="C50" s="62"/>
      <c r="D50" s="62"/>
      <c r="E50" s="62"/>
      <c r="F50" s="62"/>
      <c r="G50" s="63"/>
      <c r="H50" s="64">
        <f>SUM(H27,H46,H48)</f>
        <v>3282303</v>
      </c>
      <c r="I50" s="64">
        <f>SUM(I27,I46,I48)</f>
        <v>3391028</v>
      </c>
      <c r="J50" s="64">
        <f>SUM(J27,J46,J48)</f>
        <v>2452706</v>
      </c>
      <c r="K50" s="65">
        <f>SUM(K27,K46,K48)</f>
        <v>3414959</v>
      </c>
      <c r="L50" s="65">
        <f>SUM(L27,L46,L48)</f>
        <v>3436822</v>
      </c>
      <c r="M50" s="66">
        <f>ROUND(100*L50/K50,1)</f>
        <v>100.6</v>
      </c>
      <c r="N50" s="67"/>
      <c r="O50" s="68" t="s">
        <v>1078</v>
      </c>
      <c r="P50" s="62"/>
      <c r="Q50" s="62"/>
      <c r="R50" s="62"/>
      <c r="S50" s="62"/>
      <c r="T50" s="63"/>
      <c r="U50" s="69">
        <f>SUM(U27,U46,U48)</f>
        <v>3282303</v>
      </c>
      <c r="V50" s="70">
        <f>SUM(V27,V46,V48)</f>
        <v>3391028</v>
      </c>
      <c r="W50" s="70">
        <f>SUM(W27,W46,W48)</f>
        <v>2452706</v>
      </c>
      <c r="X50" s="71">
        <f>SUM(X27,X46,X48)</f>
        <v>3414959</v>
      </c>
      <c r="Y50" s="72">
        <f>SUM(Y27,Y46,Y48)</f>
        <v>3436822</v>
      </c>
      <c r="Z50" s="73">
        <f>ROUND(100*Y50/X50,1)</f>
        <v>100.6</v>
      </c>
    </row>
    <row r="51" spans="21:26" ht="12.75">
      <c r="U51" s="55"/>
      <c r="V51" s="55"/>
      <c r="W51" s="55"/>
      <c r="X51" s="55"/>
      <c r="Y51" s="55"/>
      <c r="Z51" s="55"/>
    </row>
    <row r="52" spans="21:26" ht="12.75">
      <c r="U52" s="55"/>
      <c r="V52" s="55"/>
      <c r="W52" s="55"/>
      <c r="X52" s="55"/>
      <c r="Y52" s="55"/>
      <c r="Z52" s="55"/>
    </row>
  </sheetData>
  <mergeCells count="4">
    <mergeCell ref="Y1:Z1"/>
    <mergeCell ref="A2:X2"/>
    <mergeCell ref="A5:G5"/>
    <mergeCell ref="O5:T5"/>
  </mergeCells>
  <printOptions horizontalCentered="1"/>
  <pageMargins left="0.7479166666666667" right="0.3541666666666667" top="0.7875" bottom="0.7875" header="0.5118055555555556" footer="0.5118055555555556"/>
  <pageSetup horizontalDpi="300" verticalDpi="3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9"/>
  <sheetViews>
    <sheetView zoomScale="90" zoomScaleNormal="90" workbookViewId="0" topLeftCell="A42">
      <selection activeCell="B75" sqref="B75"/>
    </sheetView>
  </sheetViews>
  <sheetFormatPr defaultColWidth="9.140625" defaultRowHeight="12.75"/>
  <cols>
    <col min="1" max="1" width="11.140625" style="359" customWidth="1"/>
    <col min="2" max="2" width="13.7109375" style="359" customWidth="1"/>
    <col min="3" max="3" width="14.00390625" style="359" customWidth="1"/>
    <col min="4" max="4" width="0" style="359" hidden="1" customWidth="1"/>
    <col min="5" max="5" width="12.28125" style="359" customWidth="1"/>
    <col min="6" max="6" width="10.421875" style="359" customWidth="1"/>
    <col min="7" max="7" width="9.28125" style="359" customWidth="1"/>
    <col min="8" max="8" width="11.00390625" style="359" customWidth="1"/>
    <col min="9" max="9" width="13.00390625" style="359" customWidth="1"/>
    <col min="10" max="10" width="9.7109375" style="359" customWidth="1"/>
    <col min="11" max="12" width="10.7109375" style="359" customWidth="1"/>
    <col min="13" max="13" width="10.140625" style="359" customWidth="1"/>
    <col min="14" max="14" width="12.421875" style="359" customWidth="1"/>
    <col min="15" max="15" width="9.421875" style="359" customWidth="1"/>
    <col min="16" max="16" width="12.421875" style="359" customWidth="1"/>
    <col min="17" max="17" width="9.8515625" style="359" customWidth="1"/>
    <col min="18" max="18" width="14.28125" style="359" customWidth="1"/>
    <col min="19" max="19" width="11.7109375" style="359" customWidth="1"/>
    <col min="20" max="20" width="9.8515625" style="359" customWidth="1"/>
    <col min="21" max="21" width="11.421875" style="359" customWidth="1"/>
    <col min="22" max="22" width="11.00390625" style="359" customWidth="1"/>
    <col min="23" max="23" width="12.421875" style="359" customWidth="1"/>
    <col min="24" max="24" width="11.00390625" style="359" customWidth="1"/>
    <col min="25" max="28" width="9.8515625" style="359" customWidth="1"/>
    <col min="29" max="29" width="9.57421875" style="359" customWidth="1"/>
    <col min="30" max="16384" width="9.140625" style="359" customWidth="1"/>
  </cols>
  <sheetData>
    <row r="1" spans="1:29" ht="14.25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360"/>
      <c r="W1" s="360"/>
      <c r="X1" s="360"/>
      <c r="AA1" s="1056" t="s">
        <v>1478</v>
      </c>
      <c r="AB1" s="1056"/>
      <c r="AC1" s="1056"/>
    </row>
    <row r="2" spans="1:25" ht="14.25">
      <c r="A2" s="2"/>
      <c r="B2" s="2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9" ht="15.75">
      <c r="A3" s="1072" t="s">
        <v>1479</v>
      </c>
      <c r="B3" s="1072"/>
      <c r="C3" s="1072"/>
      <c r="D3" s="1072"/>
      <c r="E3" s="1072"/>
      <c r="F3" s="1072"/>
      <c r="G3" s="1072"/>
      <c r="H3" s="1072"/>
      <c r="I3" s="1072"/>
      <c r="J3" s="1072"/>
      <c r="K3" s="1072"/>
      <c r="L3" s="1072"/>
      <c r="M3" s="1072"/>
      <c r="N3" s="1072"/>
      <c r="O3" s="1072"/>
      <c r="P3" s="1072"/>
      <c r="Q3" s="1072"/>
      <c r="R3" s="1072"/>
      <c r="S3" s="1072"/>
      <c r="T3" s="1072"/>
      <c r="U3" s="1072"/>
      <c r="V3" s="1072"/>
      <c r="W3" s="1072"/>
      <c r="X3" s="1072"/>
      <c r="Y3" s="1072"/>
      <c r="Z3" s="1072"/>
      <c r="AA3" s="1072"/>
      <c r="AB3" s="1072"/>
      <c r="AC3" s="1072"/>
    </row>
    <row r="4" spans="1:25" ht="14.25">
      <c r="A4" s="2"/>
      <c r="B4" s="2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4.25">
      <c r="A5" s="2"/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9" ht="14.25">
      <c r="A6" s="6"/>
      <c r="B6" s="6"/>
      <c r="C6" s="6"/>
      <c r="D6" s="6"/>
      <c r="E6" s="361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V6" s="2"/>
      <c r="W6" s="2"/>
      <c r="X6" s="2"/>
      <c r="AC6" s="109" t="s">
        <v>1305</v>
      </c>
    </row>
    <row r="7" spans="1:29" ht="14.25">
      <c r="A7" s="1054" t="s">
        <v>960</v>
      </c>
      <c r="B7" s="1054"/>
      <c r="C7" s="1054"/>
      <c r="D7" s="8"/>
      <c r="E7" s="362" t="s">
        <v>961</v>
      </c>
      <c r="F7" s="8" t="s">
        <v>962</v>
      </c>
      <c r="G7" s="8" t="s">
        <v>963</v>
      </c>
      <c r="H7" s="8" t="s">
        <v>964</v>
      </c>
      <c r="I7" s="8" t="s">
        <v>965</v>
      </c>
      <c r="J7" s="8" t="s">
        <v>966</v>
      </c>
      <c r="K7" s="8" t="s">
        <v>967</v>
      </c>
      <c r="L7" s="8" t="s">
        <v>968</v>
      </c>
      <c r="M7" s="8" t="s">
        <v>969</v>
      </c>
      <c r="N7" s="8" t="s">
        <v>970</v>
      </c>
      <c r="O7" s="8" t="s">
        <v>971</v>
      </c>
      <c r="P7" s="8" t="s">
        <v>972</v>
      </c>
      <c r="Q7" s="8" t="s">
        <v>973</v>
      </c>
      <c r="R7" s="8" t="s">
        <v>1480</v>
      </c>
      <c r="S7" s="8" t="s">
        <v>1481</v>
      </c>
      <c r="T7" s="8" t="s">
        <v>1482</v>
      </c>
      <c r="U7" s="8" t="s">
        <v>1483</v>
      </c>
      <c r="V7" s="8" t="s">
        <v>1484</v>
      </c>
      <c r="W7" s="10" t="s">
        <v>1485</v>
      </c>
      <c r="X7" s="10" t="s">
        <v>1486</v>
      </c>
      <c r="Y7" s="10" t="s">
        <v>1487</v>
      </c>
      <c r="Z7" s="10" t="s">
        <v>1488</v>
      </c>
      <c r="AA7" s="363" t="s">
        <v>1489</v>
      </c>
      <c r="AB7" s="10" t="s">
        <v>1490</v>
      </c>
      <c r="AC7" s="10" t="s">
        <v>1491</v>
      </c>
    </row>
    <row r="8" spans="1:29" ht="15">
      <c r="A8" s="270" t="s">
        <v>1492</v>
      </c>
      <c r="B8" s="259"/>
      <c r="C8" s="259"/>
      <c r="D8" s="259"/>
      <c r="E8" s="271" t="s">
        <v>1405</v>
      </c>
      <c r="F8" s="272" t="s">
        <v>1493</v>
      </c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71" t="s">
        <v>1405</v>
      </c>
      <c r="S8" s="259" t="s">
        <v>1494</v>
      </c>
      <c r="T8" s="259"/>
      <c r="U8" s="259"/>
      <c r="V8" s="259"/>
      <c r="W8" s="259"/>
      <c r="X8" s="259"/>
      <c r="Y8" s="259"/>
      <c r="Z8" s="364"/>
      <c r="AA8" s="364"/>
      <c r="AB8" s="364"/>
      <c r="AC8" s="365"/>
    </row>
    <row r="9" spans="1:29" ht="14.25">
      <c r="A9" s="274"/>
      <c r="B9" s="136"/>
      <c r="C9" s="136"/>
      <c r="D9" s="136"/>
      <c r="E9" s="275" t="s">
        <v>1407</v>
      </c>
      <c r="F9" s="276"/>
      <c r="G9" s="277"/>
      <c r="H9" s="277"/>
      <c r="I9" s="277"/>
      <c r="J9" s="277"/>
      <c r="K9" s="136"/>
      <c r="L9" s="136"/>
      <c r="M9" s="136"/>
      <c r="N9" s="277"/>
      <c r="O9" s="136"/>
      <c r="P9" s="136"/>
      <c r="Q9" s="136"/>
      <c r="R9" s="275" t="s">
        <v>1409</v>
      </c>
      <c r="S9" s="277"/>
      <c r="T9" s="277"/>
      <c r="U9" s="277"/>
      <c r="V9" s="277"/>
      <c r="W9" s="277"/>
      <c r="X9" s="277"/>
      <c r="Y9" s="277"/>
      <c r="Z9" s="366"/>
      <c r="AA9" s="366"/>
      <c r="AB9" s="58"/>
      <c r="AC9" s="365"/>
    </row>
    <row r="10" spans="1:29" ht="14.25">
      <c r="A10" s="274"/>
      <c r="B10" s="136"/>
      <c r="C10" s="136"/>
      <c r="D10" s="136"/>
      <c r="E10" s="275" t="s">
        <v>1404</v>
      </c>
      <c r="F10" s="367" t="s">
        <v>1495</v>
      </c>
      <c r="G10" s="368" t="s">
        <v>1496</v>
      </c>
      <c r="H10" s="369" t="s">
        <v>1497</v>
      </c>
      <c r="I10" s="369" t="s">
        <v>1496</v>
      </c>
      <c r="J10" s="369" t="s">
        <v>1498</v>
      </c>
      <c r="K10" s="369" t="s">
        <v>1499</v>
      </c>
      <c r="L10" s="369" t="s">
        <v>1500</v>
      </c>
      <c r="M10" s="369" t="s">
        <v>1501</v>
      </c>
      <c r="N10" s="369" t="s">
        <v>1500</v>
      </c>
      <c r="O10" s="370" t="s">
        <v>1502</v>
      </c>
      <c r="P10" s="370" t="s">
        <v>1503</v>
      </c>
      <c r="Q10" s="371" t="s">
        <v>1504</v>
      </c>
      <c r="R10" s="275" t="s">
        <v>1404</v>
      </c>
      <c r="S10" s="367" t="s">
        <v>1505</v>
      </c>
      <c r="T10" s="369" t="s">
        <v>1506</v>
      </c>
      <c r="U10" s="369" t="s">
        <v>1507</v>
      </c>
      <c r="V10" s="369" t="s">
        <v>1508</v>
      </c>
      <c r="W10" s="369" t="s">
        <v>1503</v>
      </c>
      <c r="X10" s="369" t="s">
        <v>1500</v>
      </c>
      <c r="Y10" s="259" t="s">
        <v>1509</v>
      </c>
      <c r="Z10" s="372" t="s">
        <v>1510</v>
      </c>
      <c r="AA10" s="372" t="s">
        <v>1511</v>
      </c>
      <c r="AB10" s="372" t="s">
        <v>1502</v>
      </c>
      <c r="AC10" s="21" t="s">
        <v>1405</v>
      </c>
    </row>
    <row r="11" spans="1:29" ht="14.25">
      <c r="A11" s="274"/>
      <c r="B11" s="136"/>
      <c r="C11" s="136"/>
      <c r="D11" s="136"/>
      <c r="E11" s="275"/>
      <c r="F11" s="373" t="s">
        <v>1512</v>
      </c>
      <c r="G11" s="374" t="s">
        <v>1513</v>
      </c>
      <c r="H11" s="375" t="s">
        <v>1514</v>
      </c>
      <c r="I11" s="375" t="s">
        <v>1513</v>
      </c>
      <c r="J11" s="375" t="s">
        <v>1515</v>
      </c>
      <c r="K11" s="375" t="s">
        <v>1516</v>
      </c>
      <c r="L11" s="375" t="s">
        <v>1517</v>
      </c>
      <c r="M11" s="375" t="s">
        <v>1518</v>
      </c>
      <c r="N11" s="375" t="s">
        <v>1517</v>
      </c>
      <c r="O11" s="376" t="s">
        <v>1519</v>
      </c>
      <c r="P11" s="376" t="s">
        <v>1520</v>
      </c>
      <c r="Q11" s="377" t="s">
        <v>1521</v>
      </c>
      <c r="R11" s="275"/>
      <c r="S11" s="373" t="s">
        <v>1522</v>
      </c>
      <c r="T11" s="375" t="s">
        <v>1523</v>
      </c>
      <c r="U11" s="375" t="s">
        <v>1409</v>
      </c>
      <c r="V11" s="375" t="s">
        <v>1524</v>
      </c>
      <c r="W11" s="375" t="s">
        <v>1520</v>
      </c>
      <c r="X11" s="375" t="s">
        <v>1517</v>
      </c>
      <c r="Y11" s="136" t="s">
        <v>1525</v>
      </c>
      <c r="Z11" s="378" t="s">
        <v>1526</v>
      </c>
      <c r="AA11" s="378" t="s">
        <v>1527</v>
      </c>
      <c r="AB11" s="378" t="s">
        <v>1528</v>
      </c>
      <c r="AC11" s="34" t="s">
        <v>1529</v>
      </c>
    </row>
    <row r="12" spans="1:29" ht="14.25">
      <c r="A12" s="274"/>
      <c r="B12" s="136"/>
      <c r="C12" s="136"/>
      <c r="D12" s="136"/>
      <c r="E12" s="275"/>
      <c r="F12" s="373" t="s">
        <v>1530</v>
      </c>
      <c r="G12" s="374" t="s">
        <v>1531</v>
      </c>
      <c r="H12" s="375" t="s">
        <v>1532</v>
      </c>
      <c r="I12" s="375" t="s">
        <v>1533</v>
      </c>
      <c r="J12" s="375" t="s">
        <v>1534</v>
      </c>
      <c r="K12" s="375" t="s">
        <v>1534</v>
      </c>
      <c r="L12" s="375" t="s">
        <v>1535</v>
      </c>
      <c r="M12" s="375" t="s">
        <v>1536</v>
      </c>
      <c r="N12" s="375" t="s">
        <v>1535</v>
      </c>
      <c r="O12" s="376" t="s">
        <v>1537</v>
      </c>
      <c r="P12" s="375" t="s">
        <v>1529</v>
      </c>
      <c r="Q12" s="377" t="s">
        <v>1538</v>
      </c>
      <c r="R12" s="275"/>
      <c r="S12" s="373" t="s">
        <v>1539</v>
      </c>
      <c r="T12" s="375" t="s">
        <v>1540</v>
      </c>
      <c r="U12" s="375"/>
      <c r="V12" s="375" t="s">
        <v>1541</v>
      </c>
      <c r="W12" s="375" t="s">
        <v>1529</v>
      </c>
      <c r="X12" s="375" t="s">
        <v>1535</v>
      </c>
      <c r="Y12" s="136" t="s">
        <v>1542</v>
      </c>
      <c r="Z12" s="379"/>
      <c r="AA12" s="379"/>
      <c r="AB12" s="379" t="s">
        <v>1537</v>
      </c>
      <c r="AC12" s="34" t="s">
        <v>1543</v>
      </c>
    </row>
    <row r="13" spans="1:29" ht="14.25">
      <c r="A13" s="274"/>
      <c r="B13" s="136"/>
      <c r="C13" s="136"/>
      <c r="D13" s="136"/>
      <c r="E13" s="275"/>
      <c r="F13" s="373" t="s">
        <v>1407</v>
      </c>
      <c r="G13" s="374" t="s">
        <v>1544</v>
      </c>
      <c r="H13" s="375" t="s">
        <v>1545</v>
      </c>
      <c r="I13" s="375" t="s">
        <v>1546</v>
      </c>
      <c r="J13" s="375" t="s">
        <v>1547</v>
      </c>
      <c r="K13" s="375" t="s">
        <v>1547</v>
      </c>
      <c r="L13" s="375" t="s">
        <v>1548</v>
      </c>
      <c r="M13" s="375"/>
      <c r="N13" s="375" t="s">
        <v>1549</v>
      </c>
      <c r="O13" s="376" t="s">
        <v>1550</v>
      </c>
      <c r="P13" s="375" t="s">
        <v>1407</v>
      </c>
      <c r="Q13" s="377" t="s">
        <v>1551</v>
      </c>
      <c r="R13" s="275"/>
      <c r="S13" s="373"/>
      <c r="T13" s="375" t="s">
        <v>1552</v>
      </c>
      <c r="U13" s="375"/>
      <c r="V13" s="375" t="s">
        <v>1553</v>
      </c>
      <c r="W13" s="375" t="s">
        <v>1409</v>
      </c>
      <c r="X13" s="375" t="s">
        <v>1554</v>
      </c>
      <c r="Y13" s="136" t="s">
        <v>1555</v>
      </c>
      <c r="Z13" s="379"/>
      <c r="AA13" s="379"/>
      <c r="AB13" s="378" t="s">
        <v>1556</v>
      </c>
      <c r="AC13" s="34" t="s">
        <v>1557</v>
      </c>
    </row>
    <row r="14" spans="1:29" ht="14.25">
      <c r="A14" s="274"/>
      <c r="B14" s="136"/>
      <c r="C14" s="136"/>
      <c r="D14" s="136"/>
      <c r="E14" s="275"/>
      <c r="F14" s="380"/>
      <c r="G14" s="374" t="s">
        <v>1558</v>
      </c>
      <c r="H14" s="375" t="s">
        <v>1559</v>
      </c>
      <c r="I14" s="375" t="s">
        <v>1560</v>
      </c>
      <c r="J14" s="375" t="s">
        <v>1561</v>
      </c>
      <c r="K14" s="375" t="s">
        <v>1561</v>
      </c>
      <c r="L14" s="375"/>
      <c r="M14" s="375"/>
      <c r="N14" s="375" t="s">
        <v>1562</v>
      </c>
      <c r="O14" s="268"/>
      <c r="P14" s="375"/>
      <c r="Q14" s="381"/>
      <c r="R14" s="275"/>
      <c r="S14" s="281"/>
      <c r="T14" s="49"/>
      <c r="U14" s="375"/>
      <c r="V14" s="375" t="s">
        <v>1563</v>
      </c>
      <c r="W14" s="375"/>
      <c r="X14" s="375"/>
      <c r="Y14" s="136" t="s">
        <v>1564</v>
      </c>
      <c r="Z14" s="379"/>
      <c r="AA14" s="379"/>
      <c r="AB14" s="379"/>
      <c r="AC14" s="34" t="s">
        <v>1565</v>
      </c>
    </row>
    <row r="15" spans="1:29" ht="18" customHeight="1">
      <c r="A15" s="274"/>
      <c r="B15" s="136"/>
      <c r="C15" s="136"/>
      <c r="D15" s="136"/>
      <c r="E15" s="275"/>
      <c r="F15" s="380"/>
      <c r="G15" s="374" t="s">
        <v>1566</v>
      </c>
      <c r="H15" s="375" t="s">
        <v>1563</v>
      </c>
      <c r="I15" s="375" t="s">
        <v>1567</v>
      </c>
      <c r="J15" s="375"/>
      <c r="K15" s="375"/>
      <c r="L15" s="375"/>
      <c r="M15" s="375"/>
      <c r="N15" s="375" t="s">
        <v>1568</v>
      </c>
      <c r="O15" s="268"/>
      <c r="P15" s="375"/>
      <c r="Q15" s="381"/>
      <c r="R15" s="275"/>
      <c r="S15" s="281"/>
      <c r="T15" s="49"/>
      <c r="U15" s="49"/>
      <c r="V15" s="49"/>
      <c r="W15" s="49"/>
      <c r="X15" s="49"/>
      <c r="Y15" s="136"/>
      <c r="Z15" s="379"/>
      <c r="AA15" s="379"/>
      <c r="AB15" s="379"/>
      <c r="AC15" s="34"/>
    </row>
    <row r="16" spans="1:29" ht="18" customHeight="1">
      <c r="A16" s="382" t="s">
        <v>1411</v>
      </c>
      <c r="B16" s="383"/>
      <c r="C16" s="383"/>
      <c r="D16" s="383"/>
      <c r="E16" s="297"/>
      <c r="F16" s="384"/>
      <c r="G16" s="385"/>
      <c r="H16" s="386"/>
      <c r="I16" s="386"/>
      <c r="J16" s="386"/>
      <c r="K16" s="386"/>
      <c r="L16" s="386"/>
      <c r="M16" s="386"/>
      <c r="N16" s="386"/>
      <c r="O16" s="383"/>
      <c r="P16" s="386"/>
      <c r="Q16" s="299"/>
      <c r="R16" s="297"/>
      <c r="S16" s="387"/>
      <c r="T16" s="386"/>
      <c r="U16" s="386"/>
      <c r="V16" s="386"/>
      <c r="W16" s="386"/>
      <c r="X16" s="386"/>
      <c r="Y16" s="383"/>
      <c r="Z16" s="388"/>
      <c r="AA16" s="388"/>
      <c r="AB16" s="388"/>
      <c r="AC16" s="325"/>
    </row>
    <row r="17" spans="1:29" ht="13.5" customHeight="1">
      <c r="A17" s="389"/>
      <c r="B17" s="390" t="s">
        <v>1086</v>
      </c>
      <c r="C17" s="136" t="s">
        <v>1084</v>
      </c>
      <c r="D17" s="136"/>
      <c r="E17" s="275">
        <f>SUM(F17:Q17)</f>
        <v>209546</v>
      </c>
      <c r="F17" s="281">
        <v>17227</v>
      </c>
      <c r="G17" s="279"/>
      <c r="H17" s="49">
        <f>R17-F17</f>
        <v>192319</v>
      </c>
      <c r="I17" s="49"/>
      <c r="J17" s="49"/>
      <c r="K17" s="49"/>
      <c r="L17" s="49"/>
      <c r="M17" s="49"/>
      <c r="N17" s="56"/>
      <c r="O17" s="56"/>
      <c r="P17" s="49"/>
      <c r="Q17" s="280"/>
      <c r="R17" s="275">
        <f>SUM(S17:AD17)</f>
        <v>209546</v>
      </c>
      <c r="S17" s="281">
        <f>131525+(68*10)</f>
        <v>132205</v>
      </c>
      <c r="T17" s="49">
        <v>33642</v>
      </c>
      <c r="U17" s="49">
        <f>43529+170</f>
        <v>43699</v>
      </c>
      <c r="V17" s="49"/>
      <c r="W17" s="49"/>
      <c r="X17" s="49"/>
      <c r="Y17" s="136"/>
      <c r="Z17" s="379"/>
      <c r="AA17" s="379"/>
      <c r="AB17" s="379"/>
      <c r="AC17" s="34"/>
    </row>
    <row r="18" spans="1:29" ht="13.5" customHeight="1">
      <c r="A18" s="288"/>
      <c r="B18" s="93" t="s">
        <v>1088</v>
      </c>
      <c r="C18" s="136" t="s">
        <v>978</v>
      </c>
      <c r="D18" s="136"/>
      <c r="E18" s="275">
        <f>SUM(F18:Q18)</f>
        <v>227440</v>
      </c>
      <c r="F18" s="281">
        <v>17227</v>
      </c>
      <c r="G18" s="279"/>
      <c r="H18" s="49">
        <v>200982</v>
      </c>
      <c r="I18" s="49"/>
      <c r="J18" s="49"/>
      <c r="K18" s="49">
        <v>275</v>
      </c>
      <c r="L18" s="49"/>
      <c r="M18" s="49"/>
      <c r="N18" s="56">
        <v>8956</v>
      </c>
      <c r="O18" s="56"/>
      <c r="P18" s="49"/>
      <c r="Q18" s="280"/>
      <c r="R18" s="275">
        <f>SUM(S18:AD18)</f>
        <v>227440</v>
      </c>
      <c r="S18" s="281">
        <v>138987</v>
      </c>
      <c r="T18" s="49">
        <v>35473</v>
      </c>
      <c r="U18" s="49">
        <v>52980</v>
      </c>
      <c r="V18" s="49"/>
      <c r="W18" s="49"/>
      <c r="X18" s="49"/>
      <c r="Y18" s="136"/>
      <c r="Z18" s="379"/>
      <c r="AA18" s="379"/>
      <c r="AB18" s="379"/>
      <c r="AC18" s="34"/>
    </row>
    <row r="19" spans="1:29" ht="13.5" customHeight="1">
      <c r="A19" s="288"/>
      <c r="B19" s="93" t="s">
        <v>1412</v>
      </c>
      <c r="C19" s="136" t="s">
        <v>979</v>
      </c>
      <c r="D19" s="136"/>
      <c r="E19" s="275">
        <f>SUM(F19:Q19)</f>
        <v>220500</v>
      </c>
      <c r="F19" s="281">
        <v>14275</v>
      </c>
      <c r="G19" s="279"/>
      <c r="H19" s="49">
        <v>192414</v>
      </c>
      <c r="I19" s="49"/>
      <c r="J19" s="49"/>
      <c r="K19" s="49">
        <v>276</v>
      </c>
      <c r="L19" s="49">
        <v>13535</v>
      </c>
      <c r="M19" s="49"/>
      <c r="N19" s="56"/>
      <c r="O19" s="56"/>
      <c r="P19" s="56"/>
      <c r="Q19" s="280"/>
      <c r="R19" s="275">
        <f>SUM(S19:AD19)</f>
        <v>219397</v>
      </c>
      <c r="S19" s="281">
        <v>136521</v>
      </c>
      <c r="T19" s="49">
        <v>34428</v>
      </c>
      <c r="U19" s="49">
        <v>43869</v>
      </c>
      <c r="V19" s="49"/>
      <c r="W19" s="49"/>
      <c r="X19" s="49">
        <v>4579</v>
      </c>
      <c r="Y19" s="136"/>
      <c r="Z19" s="379"/>
      <c r="AA19" s="379"/>
      <c r="AB19" s="379"/>
      <c r="AC19" s="34"/>
    </row>
    <row r="20" spans="1:29" ht="13.5" customHeight="1">
      <c r="A20" s="288"/>
      <c r="B20" s="93" t="s">
        <v>1413</v>
      </c>
      <c r="C20" s="136" t="s">
        <v>1414</v>
      </c>
      <c r="D20" s="136"/>
      <c r="E20" s="289">
        <f>ROUND(100*E19/E18,1)</f>
        <v>96.9</v>
      </c>
      <c r="F20" s="391">
        <f>ROUND(100*F19/F18,1)</f>
        <v>82.9</v>
      </c>
      <c r="G20" s="392"/>
      <c r="H20" s="50">
        <f>ROUND(100*H19/H18,1)</f>
        <v>95.7</v>
      </c>
      <c r="I20" s="50"/>
      <c r="J20" s="50"/>
      <c r="K20" s="50">
        <f>ROUND(100*K19/K18,1)</f>
        <v>100.4</v>
      </c>
      <c r="L20" s="50"/>
      <c r="M20" s="50"/>
      <c r="N20" s="393"/>
      <c r="O20" s="393"/>
      <c r="P20" s="393"/>
      <c r="Q20" s="280">
        <f>SUM(Q18:Q19)</f>
        <v>0</v>
      </c>
      <c r="R20" s="289">
        <f>ROUND(100*R19/R18,1)</f>
        <v>96.5</v>
      </c>
      <c r="S20" s="391">
        <f>ROUND(100*S19/S18,1)</f>
        <v>98.2</v>
      </c>
      <c r="T20" s="50">
        <f>ROUND(100*T19/T18,1)</f>
        <v>97.1</v>
      </c>
      <c r="U20" s="50">
        <f>ROUND(100*U19/U18,1)</f>
        <v>82.8</v>
      </c>
      <c r="V20" s="49"/>
      <c r="W20" s="49"/>
      <c r="X20" s="49"/>
      <c r="Y20" s="136"/>
      <c r="Z20" s="379"/>
      <c r="AA20" s="379"/>
      <c r="AB20" s="379"/>
      <c r="AC20" s="34"/>
    </row>
    <row r="21" spans="1:29" ht="13.5" customHeight="1">
      <c r="A21" s="274" t="s">
        <v>1569</v>
      </c>
      <c r="B21" s="48"/>
      <c r="C21" s="136"/>
      <c r="D21" s="136"/>
      <c r="E21" s="275"/>
      <c r="F21" s="281"/>
      <c r="G21" s="279"/>
      <c r="H21" s="49"/>
      <c r="I21" s="49"/>
      <c r="J21" s="49"/>
      <c r="K21" s="49"/>
      <c r="L21" s="49"/>
      <c r="M21" s="49"/>
      <c r="N21" s="56"/>
      <c r="O21" s="56"/>
      <c r="P21" s="56"/>
      <c r="Q21" s="280"/>
      <c r="R21" s="275"/>
      <c r="S21" s="281"/>
      <c r="T21" s="49"/>
      <c r="U21" s="49"/>
      <c r="V21" s="49"/>
      <c r="W21" s="49"/>
      <c r="X21" s="49"/>
      <c r="Y21" s="136"/>
      <c r="Z21" s="379"/>
      <c r="AA21" s="379"/>
      <c r="AB21" s="379"/>
      <c r="AC21" s="34"/>
    </row>
    <row r="22" spans="1:29" ht="13.5" customHeight="1">
      <c r="A22" s="389"/>
      <c r="B22" s="93" t="s">
        <v>1416</v>
      </c>
      <c r="C22" s="136" t="s">
        <v>1084</v>
      </c>
      <c r="D22" s="136"/>
      <c r="E22" s="275">
        <f>SUM(F22:Q22)</f>
        <v>285043</v>
      </c>
      <c r="F22" s="281">
        <v>1712</v>
      </c>
      <c r="G22" s="279"/>
      <c r="H22" s="49">
        <f>R22-F22</f>
        <v>283331</v>
      </c>
      <c r="I22" s="49"/>
      <c r="J22" s="49"/>
      <c r="K22" s="49"/>
      <c r="L22" s="49"/>
      <c r="M22" s="49"/>
      <c r="N22" s="56"/>
      <c r="O22" s="56"/>
      <c r="P22" s="56"/>
      <c r="Q22" s="280"/>
      <c r="R22" s="275">
        <f>SUM(S22:AD22)</f>
        <v>285043</v>
      </c>
      <c r="S22" s="281">
        <f>193285+(81*10)+1332</f>
        <v>195427</v>
      </c>
      <c r="T22" s="49">
        <f>51376+360</f>
        <v>51736</v>
      </c>
      <c r="U22" s="49">
        <f>37678+202</f>
        <v>37880</v>
      </c>
      <c r="V22" s="49"/>
      <c r="W22" s="49"/>
      <c r="X22" s="49"/>
      <c r="Y22" s="136"/>
      <c r="Z22" s="379"/>
      <c r="AA22" s="379"/>
      <c r="AB22" s="379"/>
      <c r="AC22" s="34"/>
    </row>
    <row r="23" spans="1:29" ht="13.5" customHeight="1">
      <c r="A23" s="274"/>
      <c r="B23" s="93" t="s">
        <v>1417</v>
      </c>
      <c r="C23" s="136" t="s">
        <v>978</v>
      </c>
      <c r="D23" s="136"/>
      <c r="E23" s="275">
        <f>SUM(F23:Q23)</f>
        <v>309989</v>
      </c>
      <c r="F23" s="281">
        <v>1712</v>
      </c>
      <c r="G23" s="279"/>
      <c r="H23" s="49">
        <v>300884</v>
      </c>
      <c r="I23" s="49"/>
      <c r="J23" s="49"/>
      <c r="K23" s="49"/>
      <c r="L23" s="49"/>
      <c r="M23" s="49"/>
      <c r="N23" s="56">
        <v>7393</v>
      </c>
      <c r="O23" s="56"/>
      <c r="P23" s="56"/>
      <c r="Q23" s="280"/>
      <c r="R23" s="275">
        <f>SUM(S23:AD23)</f>
        <v>309989</v>
      </c>
      <c r="S23" s="281">
        <v>202861</v>
      </c>
      <c r="T23" s="49">
        <v>53745</v>
      </c>
      <c r="U23" s="49">
        <v>47877</v>
      </c>
      <c r="V23" s="49"/>
      <c r="W23" s="49"/>
      <c r="X23" s="49"/>
      <c r="Y23" s="136">
        <v>5506</v>
      </c>
      <c r="Z23" s="379"/>
      <c r="AA23" s="379"/>
      <c r="AB23" s="379"/>
      <c r="AC23" s="34"/>
    </row>
    <row r="24" spans="1:29" ht="13.5" customHeight="1">
      <c r="A24" s="274"/>
      <c r="B24" s="93" t="s">
        <v>1418</v>
      </c>
      <c r="C24" s="136" t="s">
        <v>979</v>
      </c>
      <c r="D24" s="136"/>
      <c r="E24" s="275">
        <f>SUM(F24:Q24)</f>
        <v>308743</v>
      </c>
      <c r="F24" s="281">
        <v>2356</v>
      </c>
      <c r="G24" s="279"/>
      <c r="H24" s="49">
        <v>292543</v>
      </c>
      <c r="I24" s="49"/>
      <c r="J24" s="49"/>
      <c r="K24" s="49"/>
      <c r="L24" s="49">
        <v>13982</v>
      </c>
      <c r="M24" s="49"/>
      <c r="N24" s="56"/>
      <c r="O24" s="56">
        <v>-138</v>
      </c>
      <c r="P24" s="56"/>
      <c r="Q24" s="280"/>
      <c r="R24" s="275">
        <f>SUM(S24:AD24)</f>
        <v>308844</v>
      </c>
      <c r="S24" s="281">
        <v>203534</v>
      </c>
      <c r="T24" s="49">
        <v>55437</v>
      </c>
      <c r="U24" s="49">
        <v>38224</v>
      </c>
      <c r="V24" s="49"/>
      <c r="W24" s="49"/>
      <c r="X24" s="49">
        <v>6589</v>
      </c>
      <c r="Y24" s="136">
        <v>5505</v>
      </c>
      <c r="Z24" s="379"/>
      <c r="AA24" s="379"/>
      <c r="AB24" s="379">
        <v>-445</v>
      </c>
      <c r="AC24" s="34"/>
    </row>
    <row r="25" spans="1:29" ht="13.5" customHeight="1">
      <c r="A25" s="274"/>
      <c r="B25" s="93" t="s">
        <v>1419</v>
      </c>
      <c r="C25" s="136" t="s">
        <v>1414</v>
      </c>
      <c r="D25" s="136"/>
      <c r="E25" s="289">
        <f>ROUND(100*E24/E23,1)</f>
        <v>99.6</v>
      </c>
      <c r="F25" s="391">
        <f>ROUND(100*F24/F23,1)</f>
        <v>137.6</v>
      </c>
      <c r="G25" s="392"/>
      <c r="H25" s="50">
        <f>ROUND(100*H24/H23,1)</f>
        <v>97.2</v>
      </c>
      <c r="I25" s="50"/>
      <c r="J25" s="50"/>
      <c r="K25" s="50"/>
      <c r="L25" s="50"/>
      <c r="M25" s="50"/>
      <c r="N25" s="393"/>
      <c r="O25" s="393"/>
      <c r="P25" s="393"/>
      <c r="Q25" s="280">
        <f>SUM(Q23:Q24)</f>
        <v>0</v>
      </c>
      <c r="R25" s="289">
        <f>ROUND(100*R24/R23,1)</f>
        <v>99.6</v>
      </c>
      <c r="S25" s="391">
        <f>ROUND(100*S24/S23,1)</f>
        <v>100.3</v>
      </c>
      <c r="T25" s="50">
        <f>ROUND(100*T24/T23,1)</f>
        <v>103.1</v>
      </c>
      <c r="U25" s="50">
        <f>ROUND(100*U24/U23,1)</f>
        <v>79.8</v>
      </c>
      <c r="V25" s="50"/>
      <c r="W25" s="50"/>
      <c r="X25" s="50"/>
      <c r="Y25" s="394">
        <f>ROUND(100*Y24/Y23,1)</f>
        <v>100</v>
      </c>
      <c r="Z25" s="379"/>
      <c r="AA25" s="379"/>
      <c r="AB25" s="379"/>
      <c r="AC25" s="34"/>
    </row>
    <row r="26" spans="1:29" ht="13.5" customHeight="1">
      <c r="A26" s="274" t="s">
        <v>1420</v>
      </c>
      <c r="B26" s="48"/>
      <c r="C26" s="136"/>
      <c r="D26" s="136"/>
      <c r="E26" s="275"/>
      <c r="F26" s="281"/>
      <c r="G26" s="279"/>
      <c r="H26" s="49"/>
      <c r="I26" s="49"/>
      <c r="J26" s="49"/>
      <c r="K26" s="49"/>
      <c r="L26" s="49"/>
      <c r="M26" s="49"/>
      <c r="N26" s="56"/>
      <c r="O26" s="56"/>
      <c r="P26" s="56"/>
      <c r="Q26" s="280"/>
      <c r="R26" s="275"/>
      <c r="S26" s="281"/>
      <c r="T26" s="49"/>
      <c r="U26" s="49"/>
      <c r="V26" s="49"/>
      <c r="W26" s="49"/>
      <c r="X26" s="49"/>
      <c r="Y26" s="136"/>
      <c r="Z26" s="379"/>
      <c r="AA26" s="379"/>
      <c r="AB26" s="379"/>
      <c r="AC26" s="34"/>
    </row>
    <row r="27" spans="1:29" ht="13.5" customHeight="1">
      <c r="A27" s="389"/>
      <c r="B27" s="93" t="s">
        <v>1092</v>
      </c>
      <c r="C27" s="136" t="s">
        <v>1084</v>
      </c>
      <c r="D27" s="136"/>
      <c r="E27" s="275">
        <f>SUM(F27:Q27)</f>
        <v>103494</v>
      </c>
      <c r="F27" s="281">
        <v>14567</v>
      </c>
      <c r="G27" s="279"/>
      <c r="H27" s="49">
        <f>R27-F27</f>
        <v>88927</v>
      </c>
      <c r="I27" s="49"/>
      <c r="J27" s="49"/>
      <c r="K27" s="49"/>
      <c r="L27" s="49"/>
      <c r="M27" s="49"/>
      <c r="N27" s="56"/>
      <c r="O27" s="56"/>
      <c r="P27" s="56"/>
      <c r="Q27" s="280"/>
      <c r="R27" s="275">
        <f>SUM(S27:AD27)</f>
        <v>103494</v>
      </c>
      <c r="S27" s="281">
        <f>54816+(27*10)</f>
        <v>55086</v>
      </c>
      <c r="T27" s="49">
        <v>14800</v>
      </c>
      <c r="U27" s="49">
        <f>33541+67</f>
        <v>33608</v>
      </c>
      <c r="V27" s="49"/>
      <c r="W27" s="49"/>
      <c r="X27" s="49"/>
      <c r="Y27" s="136"/>
      <c r="Z27" s="379"/>
      <c r="AA27" s="379"/>
      <c r="AB27" s="379"/>
      <c r="AC27" s="34"/>
    </row>
    <row r="28" spans="1:29" ht="13.5" customHeight="1">
      <c r="A28" s="274"/>
      <c r="B28" s="93" t="s">
        <v>1100</v>
      </c>
      <c r="C28" s="136" t="s">
        <v>978</v>
      </c>
      <c r="D28" s="136"/>
      <c r="E28" s="275">
        <f>SUM(F28:Q28)</f>
        <v>118546</v>
      </c>
      <c r="F28" s="281">
        <v>19792</v>
      </c>
      <c r="G28" s="279"/>
      <c r="H28" s="49">
        <v>93744</v>
      </c>
      <c r="I28" s="49"/>
      <c r="J28" s="49"/>
      <c r="K28" s="49">
        <v>200</v>
      </c>
      <c r="L28" s="49"/>
      <c r="M28" s="49"/>
      <c r="N28" s="56">
        <v>4810</v>
      </c>
      <c r="O28" s="56"/>
      <c r="P28" s="56"/>
      <c r="Q28" s="280"/>
      <c r="R28" s="275">
        <f>SUM(S28:AD28)</f>
        <v>118546</v>
      </c>
      <c r="S28" s="281">
        <v>57440</v>
      </c>
      <c r="T28" s="49">
        <v>15437</v>
      </c>
      <c r="U28" s="49">
        <v>44623</v>
      </c>
      <c r="V28" s="49"/>
      <c r="W28" s="49"/>
      <c r="X28" s="49"/>
      <c r="Y28" s="136">
        <v>1046</v>
      </c>
      <c r="Z28" s="379"/>
      <c r="AA28" s="379"/>
      <c r="AB28" s="379"/>
      <c r="AC28" s="34"/>
    </row>
    <row r="29" spans="1:29" ht="13.5" customHeight="1">
      <c r="A29" s="274"/>
      <c r="B29" s="93" t="s">
        <v>1102</v>
      </c>
      <c r="C29" s="136" t="s">
        <v>979</v>
      </c>
      <c r="D29" s="136"/>
      <c r="E29" s="275">
        <f>SUM(F29:Q29)</f>
        <v>118944</v>
      </c>
      <c r="F29" s="281">
        <v>22677</v>
      </c>
      <c r="G29" s="279"/>
      <c r="H29" s="49">
        <v>89044</v>
      </c>
      <c r="I29" s="49"/>
      <c r="J29" s="49"/>
      <c r="K29" s="49">
        <v>200</v>
      </c>
      <c r="L29" s="49">
        <v>7023</v>
      </c>
      <c r="M29" s="49"/>
      <c r="N29" s="56"/>
      <c r="O29" s="56"/>
      <c r="P29" s="56"/>
      <c r="Q29" s="280"/>
      <c r="R29" s="275">
        <f>SUM(S29:AD29)</f>
        <v>118652</v>
      </c>
      <c r="S29" s="281">
        <v>57193</v>
      </c>
      <c r="T29" s="49">
        <v>15107</v>
      </c>
      <c r="U29" s="49">
        <v>43521</v>
      </c>
      <c r="V29" s="49"/>
      <c r="W29" s="49"/>
      <c r="X29" s="49">
        <v>2213</v>
      </c>
      <c r="Y29" s="136">
        <v>1050</v>
      </c>
      <c r="Z29" s="379"/>
      <c r="AA29" s="379"/>
      <c r="AB29" s="379">
        <v>-432</v>
      </c>
      <c r="AC29" s="34"/>
    </row>
    <row r="30" spans="1:29" ht="13.5" customHeight="1">
      <c r="A30" s="274"/>
      <c r="B30" s="93" t="s">
        <v>1421</v>
      </c>
      <c r="C30" s="136" t="s">
        <v>1414</v>
      </c>
      <c r="D30" s="136"/>
      <c r="E30" s="289">
        <f>ROUND(100*E29/E28,1)</f>
        <v>100.3</v>
      </c>
      <c r="F30" s="391">
        <f>ROUND(100*F29/F28,1)</f>
        <v>114.6</v>
      </c>
      <c r="G30" s="392"/>
      <c r="H30" s="50">
        <f>ROUND(100*H29/H28,1)</f>
        <v>95</v>
      </c>
      <c r="I30" s="50"/>
      <c r="J30" s="50"/>
      <c r="K30" s="50">
        <f>ROUND(100*K29/K28,1)</f>
        <v>100</v>
      </c>
      <c r="L30" s="50"/>
      <c r="M30" s="50"/>
      <c r="N30" s="393"/>
      <c r="O30" s="393"/>
      <c r="P30" s="393"/>
      <c r="Q30" s="280">
        <f>SUM(Q28:Q29)</f>
        <v>0</v>
      </c>
      <c r="R30" s="289">
        <f>ROUND(100*R29/R28,1)</f>
        <v>100.1</v>
      </c>
      <c r="S30" s="391">
        <f>ROUND(100*S29/S28,1)</f>
        <v>99.6</v>
      </c>
      <c r="T30" s="50">
        <f>ROUND(100*T29/T28,1)</f>
        <v>97.9</v>
      </c>
      <c r="U30" s="50">
        <f>ROUND(100*U29/U28,1)</f>
        <v>97.5</v>
      </c>
      <c r="V30" s="50"/>
      <c r="W30" s="50"/>
      <c r="X30" s="50"/>
      <c r="Y30" s="394">
        <f>ROUND(100*Y29/Y28,1)</f>
        <v>100.4</v>
      </c>
      <c r="Z30" s="379"/>
      <c r="AA30" s="379"/>
      <c r="AB30" s="379"/>
      <c r="AC30" s="34"/>
    </row>
    <row r="31" spans="1:29" ht="13.5" customHeight="1">
      <c r="A31" s="274" t="s">
        <v>1422</v>
      </c>
      <c r="B31" s="48"/>
      <c r="C31" s="136"/>
      <c r="D31" s="136"/>
      <c r="E31" s="275"/>
      <c r="F31" s="281"/>
      <c r="G31" s="279"/>
      <c r="H31" s="49"/>
      <c r="I31" s="49"/>
      <c r="J31" s="49"/>
      <c r="K31" s="49"/>
      <c r="L31" s="49"/>
      <c r="M31" s="49"/>
      <c r="N31" s="56"/>
      <c r="O31" s="56"/>
      <c r="P31" s="56"/>
      <c r="Q31" s="280"/>
      <c r="R31" s="275"/>
      <c r="S31" s="281"/>
      <c r="T31" s="49"/>
      <c r="U31" s="49"/>
      <c r="V31" s="49"/>
      <c r="W31" s="49"/>
      <c r="X31" s="49"/>
      <c r="Y31" s="136"/>
      <c r="Z31" s="379"/>
      <c r="AA31" s="379"/>
      <c r="AB31" s="379"/>
      <c r="AC31" s="34"/>
    </row>
    <row r="32" spans="1:29" ht="13.5" customHeight="1">
      <c r="A32" s="389"/>
      <c r="B32" s="93" t="s">
        <v>1423</v>
      </c>
      <c r="C32" s="136" t="s">
        <v>1084</v>
      </c>
      <c r="D32" s="136"/>
      <c r="E32" s="275">
        <f>SUM(F32:Q32)</f>
        <v>90266</v>
      </c>
      <c r="F32" s="281">
        <v>10312</v>
      </c>
      <c r="G32" s="49"/>
      <c r="H32" s="49">
        <f>R32-F32</f>
        <v>79954</v>
      </c>
      <c r="I32" s="49"/>
      <c r="J32" s="49"/>
      <c r="K32" s="49"/>
      <c r="L32" s="49"/>
      <c r="M32" s="49"/>
      <c r="N32" s="56"/>
      <c r="O32" s="56"/>
      <c r="P32" s="56"/>
      <c r="Q32" s="280"/>
      <c r="R32" s="275">
        <f>SUM(S32:AD32)</f>
        <v>90266</v>
      </c>
      <c r="S32" s="281">
        <f>49919+(26*10)</f>
        <v>50179</v>
      </c>
      <c r="T32" s="49">
        <v>13142</v>
      </c>
      <c r="U32" s="49">
        <f>26880+65</f>
        <v>26945</v>
      </c>
      <c r="V32" s="49"/>
      <c r="W32" s="49"/>
      <c r="X32" s="49"/>
      <c r="Y32" s="136"/>
      <c r="Z32" s="379"/>
      <c r="AA32" s="379"/>
      <c r="AB32" s="379"/>
      <c r="AC32" s="34"/>
    </row>
    <row r="33" spans="1:29" ht="13.5" customHeight="1">
      <c r="A33" s="274"/>
      <c r="B33" s="93" t="s">
        <v>1424</v>
      </c>
      <c r="C33" s="136" t="s">
        <v>978</v>
      </c>
      <c r="D33" s="136"/>
      <c r="E33" s="275">
        <f>SUM(F33:Q33)</f>
        <v>100426</v>
      </c>
      <c r="F33" s="281">
        <v>10312</v>
      </c>
      <c r="G33" s="49"/>
      <c r="H33" s="49">
        <v>84716</v>
      </c>
      <c r="I33" s="49"/>
      <c r="J33" s="49"/>
      <c r="K33" s="49">
        <v>450</v>
      </c>
      <c r="L33" s="49"/>
      <c r="M33" s="49"/>
      <c r="N33" s="56">
        <v>4948</v>
      </c>
      <c r="O33" s="56"/>
      <c r="P33" s="56"/>
      <c r="Q33" s="280"/>
      <c r="R33" s="275">
        <f>SUM(S33:AD33)</f>
        <v>100426</v>
      </c>
      <c r="S33" s="281">
        <v>52727</v>
      </c>
      <c r="T33" s="49">
        <v>13830</v>
      </c>
      <c r="U33" s="49">
        <v>32843</v>
      </c>
      <c r="V33" s="49"/>
      <c r="W33" s="49"/>
      <c r="X33" s="49"/>
      <c r="Y33" s="136">
        <v>1026</v>
      </c>
      <c r="Z33" s="379"/>
      <c r="AA33" s="379"/>
      <c r="AB33" s="379"/>
      <c r="AC33" s="34"/>
    </row>
    <row r="34" spans="1:29" ht="13.5" customHeight="1">
      <c r="A34" s="274"/>
      <c r="B34" s="93" t="s">
        <v>1425</v>
      </c>
      <c r="C34" s="136" t="s">
        <v>979</v>
      </c>
      <c r="D34" s="136"/>
      <c r="E34" s="275">
        <f>SUM(F34:Q34)</f>
        <v>99522</v>
      </c>
      <c r="F34" s="281">
        <v>9600</v>
      </c>
      <c r="G34" s="49"/>
      <c r="H34" s="49">
        <v>82416</v>
      </c>
      <c r="I34" s="49"/>
      <c r="J34" s="49"/>
      <c r="K34" s="49">
        <v>500</v>
      </c>
      <c r="L34" s="49">
        <v>7076</v>
      </c>
      <c r="M34" s="49"/>
      <c r="N34" s="56"/>
      <c r="O34" s="56">
        <v>-70</v>
      </c>
      <c r="P34" s="56"/>
      <c r="Q34" s="280"/>
      <c r="R34" s="275">
        <f>SUM(S34:AD34)</f>
        <v>99290</v>
      </c>
      <c r="S34" s="281">
        <v>51864</v>
      </c>
      <c r="T34" s="49">
        <v>13701</v>
      </c>
      <c r="U34" s="49">
        <v>30716</v>
      </c>
      <c r="V34" s="49"/>
      <c r="W34" s="49"/>
      <c r="X34" s="49">
        <v>2128</v>
      </c>
      <c r="Y34" s="136">
        <v>1026</v>
      </c>
      <c r="Z34" s="379"/>
      <c r="AA34" s="379"/>
      <c r="AB34" s="379">
        <v>-145</v>
      </c>
      <c r="AC34" s="34"/>
    </row>
    <row r="35" spans="1:29" ht="13.5" customHeight="1">
      <c r="A35" s="274"/>
      <c r="B35" s="93" t="s">
        <v>1426</v>
      </c>
      <c r="C35" s="136" t="s">
        <v>1414</v>
      </c>
      <c r="D35" s="136"/>
      <c r="E35" s="289">
        <f>ROUND(100*E34/E33,1)</f>
        <v>99.1</v>
      </c>
      <c r="F35" s="391">
        <f>ROUND(100*F34/F33,1)</f>
        <v>93.1</v>
      </c>
      <c r="G35" s="50"/>
      <c r="H35" s="50">
        <f>ROUND(100*H34/H33,1)</f>
        <v>97.3</v>
      </c>
      <c r="I35" s="50"/>
      <c r="J35" s="50"/>
      <c r="K35" s="50">
        <f>ROUND(100*K34/K33,1)</f>
        <v>111.1</v>
      </c>
      <c r="L35" s="50"/>
      <c r="M35" s="50"/>
      <c r="N35" s="393"/>
      <c r="O35" s="393"/>
      <c r="P35" s="393"/>
      <c r="Q35" s="280">
        <f>SUM(Q33:Q34)</f>
        <v>0</v>
      </c>
      <c r="R35" s="289">
        <f>ROUND(100*R34/R33,1)</f>
        <v>98.9</v>
      </c>
      <c r="S35" s="391">
        <f>ROUND(100*S34/S33,1)</f>
        <v>98.4</v>
      </c>
      <c r="T35" s="50">
        <f>ROUND(100*T34/T33,1)</f>
        <v>99.1</v>
      </c>
      <c r="U35" s="50">
        <f>ROUND(100*U34/U33,1)</f>
        <v>93.5</v>
      </c>
      <c r="V35" s="50"/>
      <c r="W35" s="50"/>
      <c r="X35" s="50"/>
      <c r="Y35" s="394">
        <f>ROUND(100*Y34/Y33,1)</f>
        <v>100</v>
      </c>
      <c r="Z35" s="379"/>
      <c r="AA35" s="379"/>
      <c r="AB35" s="379"/>
      <c r="AC35" s="34"/>
    </row>
    <row r="36" spans="1:29" ht="13.5" customHeight="1">
      <c r="A36" s="274" t="s">
        <v>1427</v>
      </c>
      <c r="B36" s="48"/>
      <c r="C36" s="136"/>
      <c r="D36" s="136"/>
      <c r="E36" s="275"/>
      <c r="F36" s="281"/>
      <c r="G36" s="49"/>
      <c r="H36" s="49"/>
      <c r="I36" s="49"/>
      <c r="J36" s="49"/>
      <c r="K36" s="49"/>
      <c r="L36" s="49"/>
      <c r="M36" s="49"/>
      <c r="N36" s="56"/>
      <c r="O36" s="56"/>
      <c r="P36" s="56"/>
      <c r="Q36" s="280"/>
      <c r="R36" s="275"/>
      <c r="S36" s="281"/>
      <c r="T36" s="49"/>
      <c r="U36" s="49"/>
      <c r="V36" s="49"/>
      <c r="W36" s="49"/>
      <c r="X36" s="49"/>
      <c r="Y36" s="136"/>
      <c r="Z36" s="379"/>
      <c r="AA36" s="379"/>
      <c r="AB36" s="379"/>
      <c r="AC36" s="34"/>
    </row>
    <row r="37" spans="1:29" ht="13.5" customHeight="1">
      <c r="A37" s="389"/>
      <c r="B37" s="93" t="s">
        <v>1428</v>
      </c>
      <c r="C37" s="136" t="s">
        <v>1084</v>
      </c>
      <c r="D37" s="136"/>
      <c r="E37" s="275">
        <f>SUM(F37:Q37)</f>
        <v>25859</v>
      </c>
      <c r="F37" s="281">
        <v>1500</v>
      </c>
      <c r="G37" s="49"/>
      <c r="H37" s="49">
        <f>R37-F37</f>
        <v>24359</v>
      </c>
      <c r="I37" s="49"/>
      <c r="J37" s="49"/>
      <c r="K37" s="49"/>
      <c r="L37" s="49"/>
      <c r="M37" s="49"/>
      <c r="N37" s="56"/>
      <c r="O37" s="56"/>
      <c r="P37" s="56"/>
      <c r="Q37" s="280"/>
      <c r="R37" s="275">
        <f>SUM(S37:AD37)</f>
        <v>25859</v>
      </c>
      <c r="S37" s="281">
        <f>19716+(9*10)</f>
        <v>19806</v>
      </c>
      <c r="T37" s="49">
        <v>5177</v>
      </c>
      <c r="U37" s="49">
        <f>853+23</f>
        <v>876</v>
      </c>
      <c r="V37" s="49"/>
      <c r="W37" s="49"/>
      <c r="X37" s="49"/>
      <c r="Y37" s="136"/>
      <c r="Z37" s="379"/>
      <c r="AA37" s="379"/>
      <c r="AB37" s="379"/>
      <c r="AC37" s="34"/>
    </row>
    <row r="38" spans="1:29" ht="13.5" customHeight="1">
      <c r="A38" s="274"/>
      <c r="B38" s="93" t="s">
        <v>1429</v>
      </c>
      <c r="C38" s="136" t="s">
        <v>978</v>
      </c>
      <c r="D38" s="136"/>
      <c r="E38" s="275">
        <f>SUM(F38:Q38)</f>
        <v>27330</v>
      </c>
      <c r="F38" s="281">
        <v>1500</v>
      </c>
      <c r="G38" s="49"/>
      <c r="H38" s="49">
        <v>25772</v>
      </c>
      <c r="I38" s="49"/>
      <c r="J38" s="49"/>
      <c r="K38" s="49"/>
      <c r="L38" s="49"/>
      <c r="M38" s="49"/>
      <c r="N38" s="56">
        <v>58</v>
      </c>
      <c r="O38" s="56"/>
      <c r="P38" s="56"/>
      <c r="Q38" s="280"/>
      <c r="R38" s="275">
        <f>SUM(S38:AD38)</f>
        <v>27330</v>
      </c>
      <c r="S38" s="281">
        <v>20428</v>
      </c>
      <c r="T38" s="49">
        <v>5344</v>
      </c>
      <c r="U38" s="49">
        <v>1558</v>
      </c>
      <c r="V38" s="49"/>
      <c r="W38" s="49"/>
      <c r="X38" s="49"/>
      <c r="Y38" s="136"/>
      <c r="Z38" s="379"/>
      <c r="AA38" s="379"/>
      <c r="AB38" s="379"/>
      <c r="AC38" s="34"/>
    </row>
    <row r="39" spans="1:29" ht="13.5" customHeight="1">
      <c r="A39" s="274"/>
      <c r="B39" s="93" t="s">
        <v>1430</v>
      </c>
      <c r="C39" s="136" t="s">
        <v>979</v>
      </c>
      <c r="D39" s="136"/>
      <c r="E39" s="275">
        <f>SUM(F39:Q39)</f>
        <v>24966</v>
      </c>
      <c r="F39" s="281">
        <v>1299</v>
      </c>
      <c r="G39" s="49"/>
      <c r="H39" s="49">
        <v>22972</v>
      </c>
      <c r="I39" s="49"/>
      <c r="J39" s="49"/>
      <c r="K39" s="49"/>
      <c r="L39" s="49">
        <v>695</v>
      </c>
      <c r="M39" s="49"/>
      <c r="N39" s="56"/>
      <c r="O39" s="56"/>
      <c r="P39" s="56"/>
      <c r="Q39" s="280"/>
      <c r="R39" s="275">
        <f>SUM(S39:AD39)</f>
        <v>24761</v>
      </c>
      <c r="S39" s="281">
        <v>18275</v>
      </c>
      <c r="T39" s="49">
        <v>4863</v>
      </c>
      <c r="U39" s="49">
        <v>986</v>
      </c>
      <c r="V39" s="49"/>
      <c r="W39" s="49"/>
      <c r="X39" s="49">
        <v>637</v>
      </c>
      <c r="Y39" s="136"/>
      <c r="Z39" s="379"/>
      <c r="AA39" s="379"/>
      <c r="AB39" s="379"/>
      <c r="AC39" s="34"/>
    </row>
    <row r="40" spans="1:29" ht="13.5" customHeight="1">
      <c r="A40" s="274"/>
      <c r="B40" s="93" t="s">
        <v>1431</v>
      </c>
      <c r="C40" s="136" t="s">
        <v>1414</v>
      </c>
      <c r="D40" s="136"/>
      <c r="E40" s="289">
        <f>ROUND(100*E39/E38,1)</f>
        <v>91.4</v>
      </c>
      <c r="F40" s="391">
        <f>ROUND(100*F39/F38,1)</f>
        <v>86.6</v>
      </c>
      <c r="G40" s="50"/>
      <c r="H40" s="50">
        <f>ROUND(100*H39/H38,1)</f>
        <v>89.1</v>
      </c>
      <c r="I40" s="50"/>
      <c r="J40" s="50"/>
      <c r="K40" s="50"/>
      <c r="L40" s="50"/>
      <c r="M40" s="50"/>
      <c r="N40" s="393"/>
      <c r="O40" s="393"/>
      <c r="P40" s="393"/>
      <c r="Q40" s="280">
        <f>SUM(Q38:Q39)</f>
        <v>0</v>
      </c>
      <c r="R40" s="289">
        <f>ROUND(100*R39/R38,1)</f>
        <v>90.6</v>
      </c>
      <c r="S40" s="391">
        <f>ROUND(100*S39/S38,1)</f>
        <v>89.5</v>
      </c>
      <c r="T40" s="50">
        <f>ROUND(100*T39/T38,1)</f>
        <v>91</v>
      </c>
      <c r="U40" s="50">
        <f>ROUND(100*U39/U38,1)</f>
        <v>63.3</v>
      </c>
      <c r="V40" s="49"/>
      <c r="W40" s="49"/>
      <c r="X40" s="49"/>
      <c r="Y40" s="136"/>
      <c r="Z40" s="379"/>
      <c r="AA40" s="379"/>
      <c r="AB40" s="379"/>
      <c r="AC40" s="34"/>
    </row>
    <row r="41" spans="1:29" ht="13.5" customHeight="1">
      <c r="A41" s="274" t="s">
        <v>1432</v>
      </c>
      <c r="B41" s="48"/>
      <c r="C41" s="136"/>
      <c r="D41" s="136"/>
      <c r="E41" s="275"/>
      <c r="F41" s="281"/>
      <c r="G41" s="49"/>
      <c r="H41" s="49"/>
      <c r="I41" s="49"/>
      <c r="J41" s="49"/>
      <c r="K41" s="49"/>
      <c r="L41" s="49"/>
      <c r="M41" s="49"/>
      <c r="N41" s="56"/>
      <c r="O41" s="56"/>
      <c r="P41" s="56"/>
      <c r="Q41" s="280"/>
      <c r="R41" s="275"/>
      <c r="S41" s="281"/>
      <c r="T41" s="49"/>
      <c r="U41" s="49"/>
      <c r="V41" s="49"/>
      <c r="W41" s="49"/>
      <c r="X41" s="49"/>
      <c r="Y41" s="136"/>
      <c r="Z41" s="379"/>
      <c r="AA41" s="379"/>
      <c r="AB41" s="379"/>
      <c r="AC41" s="34"/>
    </row>
    <row r="42" spans="1:29" ht="13.5" customHeight="1">
      <c r="A42" s="389"/>
      <c r="B42" s="93" t="s">
        <v>1433</v>
      </c>
      <c r="C42" s="136" t="s">
        <v>1084</v>
      </c>
      <c r="D42" s="136"/>
      <c r="E42" s="275">
        <f>SUM(F42:Q42)</f>
        <v>26490</v>
      </c>
      <c r="F42" s="281">
        <v>300</v>
      </c>
      <c r="G42" s="49"/>
      <c r="H42" s="49">
        <f>R42-F42</f>
        <v>26190</v>
      </c>
      <c r="I42" s="49"/>
      <c r="J42" s="49"/>
      <c r="K42" s="49"/>
      <c r="L42" s="49"/>
      <c r="M42" s="49"/>
      <c r="N42" s="56"/>
      <c r="O42" s="56"/>
      <c r="P42" s="56"/>
      <c r="Q42" s="280"/>
      <c r="R42" s="275">
        <f>SUM(S42:AD42)</f>
        <v>26490</v>
      </c>
      <c r="S42" s="281">
        <f>17212+(7*10)</f>
        <v>17282</v>
      </c>
      <c r="T42" s="49">
        <v>4501</v>
      </c>
      <c r="U42" s="49">
        <f>4690+17</f>
        <v>4707</v>
      </c>
      <c r="V42" s="49"/>
      <c r="W42" s="49"/>
      <c r="X42" s="49"/>
      <c r="Y42" s="136"/>
      <c r="Z42" s="379"/>
      <c r="AA42" s="379"/>
      <c r="AB42" s="379"/>
      <c r="AC42" s="34"/>
    </row>
    <row r="43" spans="1:29" ht="13.5" customHeight="1">
      <c r="A43" s="274"/>
      <c r="B43" s="93" t="s">
        <v>1434</v>
      </c>
      <c r="C43" s="136" t="s">
        <v>978</v>
      </c>
      <c r="D43" s="136"/>
      <c r="E43" s="275">
        <f>SUM(F43:Q43)</f>
        <v>27605</v>
      </c>
      <c r="F43" s="281">
        <v>300</v>
      </c>
      <c r="G43" s="49"/>
      <c r="H43" s="49">
        <v>27086</v>
      </c>
      <c r="I43" s="49"/>
      <c r="J43" s="49"/>
      <c r="K43" s="49"/>
      <c r="L43" s="49"/>
      <c r="M43" s="49"/>
      <c r="N43" s="56">
        <v>219</v>
      </c>
      <c r="O43" s="56"/>
      <c r="P43" s="56"/>
      <c r="Q43" s="280"/>
      <c r="R43" s="275">
        <f>SUM(S43:AD43)</f>
        <v>27605</v>
      </c>
      <c r="S43" s="279">
        <v>17816</v>
      </c>
      <c r="T43" s="49">
        <v>4643</v>
      </c>
      <c r="U43" s="49">
        <v>5146</v>
      </c>
      <c r="V43" s="49"/>
      <c r="W43" s="49"/>
      <c r="X43" s="49"/>
      <c r="Y43" s="136"/>
      <c r="Z43" s="379"/>
      <c r="AA43" s="379"/>
      <c r="AB43" s="379"/>
      <c r="AC43" s="34"/>
    </row>
    <row r="44" spans="1:29" ht="13.5" customHeight="1">
      <c r="A44" s="274"/>
      <c r="B44" s="93" t="s">
        <v>1435</v>
      </c>
      <c r="C44" s="136" t="s">
        <v>979</v>
      </c>
      <c r="D44" s="136"/>
      <c r="E44" s="275">
        <f>SUM(F44:Q44)</f>
        <v>25555</v>
      </c>
      <c r="F44" s="281">
        <v>268</v>
      </c>
      <c r="G44" s="49"/>
      <c r="H44" s="49">
        <v>24570</v>
      </c>
      <c r="I44" s="49"/>
      <c r="J44" s="49"/>
      <c r="K44" s="49"/>
      <c r="L44" s="49">
        <v>717</v>
      </c>
      <c r="M44" s="49"/>
      <c r="N44" s="56"/>
      <c r="O44" s="56"/>
      <c r="P44" s="56"/>
      <c r="Q44" s="280"/>
      <c r="R44" s="275">
        <f>SUM(S44:AD44)</f>
        <v>25542</v>
      </c>
      <c r="S44" s="279">
        <v>17435</v>
      </c>
      <c r="T44" s="49">
        <v>4575</v>
      </c>
      <c r="U44" s="49">
        <v>3083</v>
      </c>
      <c r="V44" s="49"/>
      <c r="W44" s="49"/>
      <c r="X44" s="49">
        <v>498</v>
      </c>
      <c r="Y44" s="136"/>
      <c r="Z44" s="379"/>
      <c r="AA44" s="379"/>
      <c r="AB44" s="379">
        <v>-49</v>
      </c>
      <c r="AC44" s="34"/>
    </row>
    <row r="45" spans="1:29" ht="13.5" customHeight="1">
      <c r="A45" s="395"/>
      <c r="B45" s="93" t="s">
        <v>1436</v>
      </c>
      <c r="C45" s="136" t="s">
        <v>1414</v>
      </c>
      <c r="D45" s="136"/>
      <c r="E45" s="289">
        <f>ROUND(100*E44/E43,1)</f>
        <v>92.6</v>
      </c>
      <c r="F45" s="391">
        <f>ROUND(100*F44/F43,1)</f>
        <v>89.3</v>
      </c>
      <c r="G45" s="50"/>
      <c r="H45" s="50">
        <f>ROUND(100*H44/H43,1)</f>
        <v>90.7</v>
      </c>
      <c r="I45" s="50"/>
      <c r="J45" s="50"/>
      <c r="K45" s="50"/>
      <c r="L45" s="50"/>
      <c r="M45" s="50"/>
      <c r="N45" s="393"/>
      <c r="O45" s="393"/>
      <c r="P45" s="393"/>
      <c r="Q45" s="280">
        <f>SUM(Q43:Q44)</f>
        <v>0</v>
      </c>
      <c r="R45" s="289">
        <f>ROUND(100*R44/R43,1)</f>
        <v>92.5</v>
      </c>
      <c r="S45" s="392">
        <f>ROUND(100*S44/S43,1)</f>
        <v>97.9</v>
      </c>
      <c r="T45" s="50">
        <f>ROUND(100*T44/T43,1)</f>
        <v>98.5</v>
      </c>
      <c r="U45" s="50">
        <f>ROUND(100*U44/U43,1)</f>
        <v>59.9</v>
      </c>
      <c r="V45" s="49"/>
      <c r="W45" s="49"/>
      <c r="X45" s="49"/>
      <c r="Y45" s="136"/>
      <c r="Z45" s="379"/>
      <c r="AA45" s="379"/>
      <c r="AB45" s="379"/>
      <c r="AC45" s="34"/>
    </row>
    <row r="46" spans="1:29" ht="13.5" customHeight="1">
      <c r="A46" s="301" t="s">
        <v>1570</v>
      </c>
      <c r="B46" s="296"/>
      <c r="C46" s="383"/>
      <c r="D46" s="396"/>
      <c r="E46" s="297"/>
      <c r="F46" s="387"/>
      <c r="G46" s="386"/>
      <c r="H46" s="386"/>
      <c r="I46" s="386"/>
      <c r="J46" s="386"/>
      <c r="K46" s="386"/>
      <c r="L46" s="386"/>
      <c r="M46" s="386"/>
      <c r="N46" s="397"/>
      <c r="O46" s="397"/>
      <c r="P46" s="397"/>
      <c r="Q46" s="299"/>
      <c r="R46" s="297"/>
      <c r="S46" s="385"/>
      <c r="T46" s="386"/>
      <c r="U46" s="386"/>
      <c r="V46" s="386"/>
      <c r="W46" s="386"/>
      <c r="X46" s="386"/>
      <c r="Y46" s="383"/>
      <c r="Z46" s="388"/>
      <c r="AA46" s="388"/>
      <c r="AB46" s="388"/>
      <c r="AC46" s="325"/>
    </row>
    <row r="47" spans="1:29" ht="13.5" customHeight="1">
      <c r="A47" s="389"/>
      <c r="B47" s="390" t="s">
        <v>1009</v>
      </c>
      <c r="C47" s="136" t="s">
        <v>1084</v>
      </c>
      <c r="D47" s="287"/>
      <c r="E47" s="275">
        <f>SUM(F47:Q47)</f>
        <v>740698</v>
      </c>
      <c r="F47" s="281">
        <f>SUM(F17,F22,F27,F32,F37,F42)</f>
        <v>45618</v>
      </c>
      <c r="G47" s="49"/>
      <c r="H47" s="49">
        <f>SUM(H17,H22,H27,H32,H37,H42)</f>
        <v>695080</v>
      </c>
      <c r="I47" s="49"/>
      <c r="J47" s="49"/>
      <c r="K47" s="49"/>
      <c r="L47" s="49"/>
      <c r="M47" s="49"/>
      <c r="N47" s="56"/>
      <c r="O47" s="56"/>
      <c r="P47" s="56"/>
      <c r="Q47" s="280"/>
      <c r="R47" s="275">
        <f>SUM(S47:AD47)</f>
        <v>740698</v>
      </c>
      <c r="S47" s="279">
        <f aca="true" t="shared" si="0" ref="S47:U49">SUM(S17,S22,S27,S32,S37,S42)</f>
        <v>469985</v>
      </c>
      <c r="T47" s="49">
        <f t="shared" si="0"/>
        <v>122998</v>
      </c>
      <c r="U47" s="49">
        <f t="shared" si="0"/>
        <v>147715</v>
      </c>
      <c r="V47" s="49"/>
      <c r="W47" s="49"/>
      <c r="X47" s="49"/>
      <c r="Y47" s="136"/>
      <c r="Z47" s="379"/>
      <c r="AA47" s="379"/>
      <c r="AB47" s="379"/>
      <c r="AC47" s="34"/>
    </row>
    <row r="48" spans="1:29" ht="13.5" customHeight="1">
      <c r="A48" s="301"/>
      <c r="B48" s="390" t="s">
        <v>1012</v>
      </c>
      <c r="C48" s="136" t="s">
        <v>978</v>
      </c>
      <c r="D48" s="287"/>
      <c r="E48" s="275">
        <f>SUM(F48:Q48)</f>
        <v>811336</v>
      </c>
      <c r="F48" s="281">
        <f aca="true" t="shared" si="1" ref="F48:Q48">SUM(F18,F23,F28,F33,F38,F43)</f>
        <v>50843</v>
      </c>
      <c r="G48" s="49">
        <f t="shared" si="1"/>
        <v>0</v>
      </c>
      <c r="H48" s="49">
        <f t="shared" si="1"/>
        <v>733184</v>
      </c>
      <c r="I48" s="49">
        <f t="shared" si="1"/>
        <v>0</v>
      </c>
      <c r="J48" s="49">
        <f t="shared" si="1"/>
        <v>0</v>
      </c>
      <c r="K48" s="49">
        <f t="shared" si="1"/>
        <v>925</v>
      </c>
      <c r="L48" s="49"/>
      <c r="M48" s="49">
        <f t="shared" si="1"/>
        <v>0</v>
      </c>
      <c r="N48" s="56">
        <f t="shared" si="1"/>
        <v>26384</v>
      </c>
      <c r="O48" s="56"/>
      <c r="P48" s="56"/>
      <c r="Q48" s="280">
        <f t="shared" si="1"/>
        <v>0</v>
      </c>
      <c r="R48" s="275">
        <f>SUM(S48:AD48)</f>
        <v>811336</v>
      </c>
      <c r="S48" s="279">
        <f t="shared" si="0"/>
        <v>490259</v>
      </c>
      <c r="T48" s="49">
        <f t="shared" si="0"/>
        <v>128472</v>
      </c>
      <c r="U48" s="49">
        <f aca="true" t="shared" si="2" ref="U48:AC48">SUM(U18,U23,U28,U33,U38,U43)</f>
        <v>185027</v>
      </c>
      <c r="V48" s="49">
        <f t="shared" si="2"/>
        <v>0</v>
      </c>
      <c r="W48" s="49"/>
      <c r="X48" s="49"/>
      <c r="Y48" s="136">
        <f t="shared" si="2"/>
        <v>7578</v>
      </c>
      <c r="Z48" s="379">
        <f t="shared" si="2"/>
        <v>0</v>
      </c>
      <c r="AA48" s="379">
        <f t="shared" si="2"/>
        <v>0</v>
      </c>
      <c r="AB48" s="379"/>
      <c r="AC48" s="34">
        <f t="shared" si="2"/>
        <v>0</v>
      </c>
    </row>
    <row r="49" spans="1:29" ht="13.5" customHeight="1">
      <c r="A49" s="301"/>
      <c r="B49" s="390" t="s">
        <v>1015</v>
      </c>
      <c r="C49" s="136" t="s">
        <v>979</v>
      </c>
      <c r="D49" s="287"/>
      <c r="E49" s="275">
        <f>SUM(F49:Q49)</f>
        <v>798230</v>
      </c>
      <c r="F49" s="281">
        <f>SUM(F19,F24,F29,F34,F39,F44)</f>
        <v>50475</v>
      </c>
      <c r="G49" s="49">
        <f>SUM(G19,G24,G29,G34,G39,G44)</f>
        <v>0</v>
      </c>
      <c r="H49" s="49">
        <f>SUM(H19,H24,H29,H34,H39,H44)</f>
        <v>703959</v>
      </c>
      <c r="I49" s="49">
        <f>SUM(I19,I24,I29,I34,I39,I44)</f>
        <v>0</v>
      </c>
      <c r="J49" s="49">
        <f>SUM(J19,J24,J29,J34,J39,J44)</f>
        <v>0</v>
      </c>
      <c r="K49" s="49">
        <f aca="true" t="shared" si="3" ref="K49:Q49">SUM(K19,K24,K29,K34,K39,K44)</f>
        <v>976</v>
      </c>
      <c r="L49" s="49">
        <f t="shared" si="3"/>
        <v>43028</v>
      </c>
      <c r="M49" s="49">
        <f t="shared" si="3"/>
        <v>0</v>
      </c>
      <c r="N49" s="56">
        <f t="shared" si="3"/>
        <v>0</v>
      </c>
      <c r="O49" s="56">
        <f t="shared" si="3"/>
        <v>-208</v>
      </c>
      <c r="P49" s="56"/>
      <c r="Q49" s="280">
        <f t="shared" si="3"/>
        <v>0</v>
      </c>
      <c r="R49" s="275">
        <f>SUM(S49:AD49)</f>
        <v>796486</v>
      </c>
      <c r="S49" s="279">
        <f t="shared" si="0"/>
        <v>484822</v>
      </c>
      <c r="T49" s="49">
        <f t="shared" si="0"/>
        <v>128111</v>
      </c>
      <c r="U49" s="49">
        <f aca="true" t="shared" si="4" ref="U49:AC49">SUM(U19,U24,U29,U34,U39,U44)</f>
        <v>160399</v>
      </c>
      <c r="V49" s="49">
        <f t="shared" si="4"/>
        <v>0</v>
      </c>
      <c r="W49" s="49"/>
      <c r="X49" s="49">
        <f t="shared" si="4"/>
        <v>16644</v>
      </c>
      <c r="Y49" s="136">
        <f t="shared" si="4"/>
        <v>7581</v>
      </c>
      <c r="Z49" s="379">
        <f t="shared" si="4"/>
        <v>0</v>
      </c>
      <c r="AA49" s="379">
        <f t="shared" si="4"/>
        <v>0</v>
      </c>
      <c r="AB49" s="379">
        <f t="shared" si="4"/>
        <v>-1071</v>
      </c>
      <c r="AC49" s="34">
        <f t="shared" si="4"/>
        <v>0</v>
      </c>
    </row>
    <row r="50" spans="1:29" ht="13.5" customHeight="1">
      <c r="A50" s="301"/>
      <c r="B50" s="390" t="s">
        <v>1018</v>
      </c>
      <c r="C50" s="136" t="s">
        <v>1414</v>
      </c>
      <c r="D50" s="287"/>
      <c r="E50" s="289">
        <f>ROUND(100*E49/E48,1)</f>
        <v>98.4</v>
      </c>
      <c r="F50" s="398">
        <f>ROUND(100*F49/F48,1)</f>
        <v>99.3</v>
      </c>
      <c r="G50" s="399"/>
      <c r="H50" s="399">
        <f>ROUND(100*H49/H48,1)</f>
        <v>96</v>
      </c>
      <c r="I50" s="50"/>
      <c r="J50" s="50"/>
      <c r="K50" s="399">
        <f>ROUND(100*K49/K48,1)</f>
        <v>105.5</v>
      </c>
      <c r="L50" s="399"/>
      <c r="M50" s="399"/>
      <c r="N50" s="400"/>
      <c r="O50" s="400"/>
      <c r="P50" s="400"/>
      <c r="Q50" s="300">
        <f>SUM(Q48:Q49)</f>
        <v>0</v>
      </c>
      <c r="R50" s="289">
        <f>ROUND(100*R49/R48,1)</f>
        <v>98.2</v>
      </c>
      <c r="S50" s="401">
        <f>ROUND(100*S49/S48,1)</f>
        <v>98.9</v>
      </c>
      <c r="T50" s="399">
        <f>ROUND(100*T49/T48,1)</f>
        <v>99.7</v>
      </c>
      <c r="U50" s="399">
        <f>ROUND(100*U49/U48,1)</f>
        <v>86.7</v>
      </c>
      <c r="V50" s="50"/>
      <c r="W50" s="50"/>
      <c r="X50" s="50"/>
      <c r="Y50" s="402">
        <f>ROUND(100*Y49/Y48,1)</f>
        <v>100</v>
      </c>
      <c r="Z50" s="379"/>
      <c r="AA50" s="379"/>
      <c r="AB50" s="379"/>
      <c r="AC50" s="34"/>
    </row>
    <row r="51" spans="1:29" ht="13.5" customHeight="1">
      <c r="A51" s="324" t="s">
        <v>1438</v>
      </c>
      <c r="B51" s="403"/>
      <c r="C51" s="383"/>
      <c r="D51" s="396"/>
      <c r="E51" s="404"/>
      <c r="F51" s="405"/>
      <c r="G51" s="406"/>
      <c r="H51" s="406"/>
      <c r="I51" s="386"/>
      <c r="J51" s="386"/>
      <c r="K51" s="406"/>
      <c r="L51" s="406"/>
      <c r="M51" s="406"/>
      <c r="N51" s="407"/>
      <c r="O51" s="407"/>
      <c r="P51" s="407"/>
      <c r="Q51" s="408"/>
      <c r="R51" s="409"/>
      <c r="S51" s="410"/>
      <c r="T51" s="406"/>
      <c r="U51" s="406"/>
      <c r="V51" s="386"/>
      <c r="W51" s="386"/>
      <c r="X51" s="386"/>
      <c r="Y51" s="411"/>
      <c r="Z51" s="388"/>
      <c r="AA51" s="388"/>
      <c r="AB51" s="388"/>
      <c r="AC51" s="325"/>
    </row>
    <row r="52" spans="1:29" ht="13.5" customHeight="1">
      <c r="A52" s="389"/>
      <c r="B52" s="223" t="s">
        <v>1204</v>
      </c>
      <c r="C52" s="136" t="s">
        <v>1084</v>
      </c>
      <c r="D52" s="365"/>
      <c r="E52" s="315">
        <f>SUM(F52:Q52)</f>
        <v>39001</v>
      </c>
      <c r="F52" s="412">
        <v>8765</v>
      </c>
      <c r="G52" s="53"/>
      <c r="H52" s="53">
        <f>R52-F52</f>
        <v>30236</v>
      </c>
      <c r="I52" s="53"/>
      <c r="J52" s="53"/>
      <c r="K52" s="53"/>
      <c r="L52" s="53"/>
      <c r="M52" s="53"/>
      <c r="N52" s="379"/>
      <c r="O52" s="379"/>
      <c r="P52" s="379"/>
      <c r="Q52" s="34"/>
      <c r="R52" s="365">
        <f>SUM(S52:AD52)</f>
        <v>39001</v>
      </c>
      <c r="S52" s="413">
        <f>15864+(9*10)</f>
        <v>15954</v>
      </c>
      <c r="T52" s="53">
        <v>4211</v>
      </c>
      <c r="U52" s="53">
        <f>18814+22</f>
        <v>18836</v>
      </c>
      <c r="V52" s="53"/>
      <c r="W52" s="53"/>
      <c r="X52" s="53"/>
      <c r="Y52" s="58"/>
      <c r="Z52" s="379"/>
      <c r="AA52" s="379"/>
      <c r="AB52" s="379"/>
      <c r="AC52" s="34"/>
    </row>
    <row r="53" spans="1:29" ht="13.5" customHeight="1">
      <c r="A53" s="317"/>
      <c r="B53" s="390" t="s">
        <v>1439</v>
      </c>
      <c r="C53" s="136" t="s">
        <v>978</v>
      </c>
      <c r="D53" s="365"/>
      <c r="E53" s="315">
        <f>SUM(F53:Q53)</f>
        <v>49084</v>
      </c>
      <c r="F53" s="412">
        <v>10114</v>
      </c>
      <c r="G53" s="53"/>
      <c r="H53" s="53">
        <v>38429</v>
      </c>
      <c r="I53" s="53"/>
      <c r="J53" s="53"/>
      <c r="K53" s="53">
        <v>541</v>
      </c>
      <c r="L53" s="53"/>
      <c r="M53" s="53"/>
      <c r="N53" s="379"/>
      <c r="O53" s="379"/>
      <c r="P53" s="379"/>
      <c r="Q53" s="34"/>
      <c r="R53" s="365">
        <f>SUM(S53:AD53)</f>
        <v>49084</v>
      </c>
      <c r="S53" s="413">
        <v>16868</v>
      </c>
      <c r="T53" s="53">
        <v>4467</v>
      </c>
      <c r="U53" s="53">
        <v>27749</v>
      </c>
      <c r="V53" s="53"/>
      <c r="W53" s="53"/>
      <c r="X53" s="53"/>
      <c r="Y53" s="58"/>
      <c r="Z53" s="379"/>
      <c r="AA53" s="379"/>
      <c r="AB53" s="379"/>
      <c r="AC53" s="34"/>
    </row>
    <row r="54" spans="1:29" ht="13.5" customHeight="1">
      <c r="A54" s="317"/>
      <c r="B54" s="390" t="s">
        <v>1440</v>
      </c>
      <c r="C54" s="136" t="s">
        <v>979</v>
      </c>
      <c r="D54" s="365"/>
      <c r="E54" s="315">
        <f>SUM(F54:Q54)</f>
        <v>46456</v>
      </c>
      <c r="F54" s="412">
        <v>10692</v>
      </c>
      <c r="G54" s="53"/>
      <c r="H54" s="53">
        <v>36344</v>
      </c>
      <c r="I54" s="53"/>
      <c r="J54" s="53"/>
      <c r="K54" s="53">
        <v>1041</v>
      </c>
      <c r="L54" s="53">
        <v>3638</v>
      </c>
      <c r="M54" s="53"/>
      <c r="N54" s="379"/>
      <c r="O54" s="379">
        <v>-5259</v>
      </c>
      <c r="P54" s="379"/>
      <c r="Q54" s="34"/>
      <c r="R54" s="365">
        <f>SUM(S54:AD54)</f>
        <v>43953</v>
      </c>
      <c r="S54" s="413">
        <v>16740</v>
      </c>
      <c r="T54" s="53">
        <v>4531</v>
      </c>
      <c r="U54" s="53">
        <v>22725</v>
      </c>
      <c r="V54" s="53"/>
      <c r="W54" s="53"/>
      <c r="X54" s="53"/>
      <c r="Y54" s="58"/>
      <c r="Z54" s="379"/>
      <c r="AA54" s="379"/>
      <c r="AB54" s="379">
        <v>-43</v>
      </c>
      <c r="AC54" s="34"/>
    </row>
    <row r="55" spans="1:29" ht="13.5" customHeight="1">
      <c r="A55" s="317"/>
      <c r="B55" s="390" t="s">
        <v>1441</v>
      </c>
      <c r="C55" s="136" t="s">
        <v>1414</v>
      </c>
      <c r="D55" s="365"/>
      <c r="E55" s="318">
        <f>ROUND(100*E54/E53,1)</f>
        <v>94.6</v>
      </c>
      <c r="F55" s="414">
        <f>ROUND(100*F54/F53,1)</f>
        <v>105.7</v>
      </c>
      <c r="G55" s="415"/>
      <c r="H55" s="415">
        <f>ROUND(100*H54/H53,1)</f>
        <v>94.6</v>
      </c>
      <c r="I55" s="415"/>
      <c r="J55" s="415"/>
      <c r="K55" s="415">
        <f>ROUND(100*K54/K53,1)</f>
        <v>192.4</v>
      </c>
      <c r="L55" s="53"/>
      <c r="M55" s="53">
        <f>SUM(M53:M54)</f>
        <v>0</v>
      </c>
      <c r="N55" s="379">
        <f>SUM(N53:N54)</f>
        <v>0</v>
      </c>
      <c r="O55" s="379"/>
      <c r="P55" s="379"/>
      <c r="Q55" s="34">
        <f>SUM(Q53:Q54)</f>
        <v>0</v>
      </c>
      <c r="R55" s="416">
        <f>ROUND(100*R54/R53,1)</f>
        <v>89.5</v>
      </c>
      <c r="S55" s="417">
        <f>ROUND(100*S54/S53,1)</f>
        <v>99.2</v>
      </c>
      <c r="T55" s="415">
        <f>ROUND(100*T54/T53,1)</f>
        <v>101.4</v>
      </c>
      <c r="U55" s="415">
        <f>ROUND(100*U54/U53,1)</f>
        <v>81.9</v>
      </c>
      <c r="V55" s="53">
        <f>SUM(V53:V54)</f>
        <v>0</v>
      </c>
      <c r="W55" s="53"/>
      <c r="X55" s="53"/>
      <c r="Y55" s="58">
        <f>SUM(Y53:Y54)</f>
        <v>0</v>
      </c>
      <c r="Z55" s="379">
        <f>SUM(Z53:Z54)</f>
        <v>0</v>
      </c>
      <c r="AA55" s="379">
        <f>SUM(AA53:AA54)</f>
        <v>0</v>
      </c>
      <c r="AB55" s="379"/>
      <c r="AC55" s="34"/>
    </row>
    <row r="56" spans="1:29" ht="13.5" customHeight="1">
      <c r="A56" s="317" t="s">
        <v>1442</v>
      </c>
      <c r="B56" s="390"/>
      <c r="C56" s="418"/>
      <c r="D56" s="365"/>
      <c r="E56" s="315"/>
      <c r="F56" s="412"/>
      <c r="G56" s="53"/>
      <c r="H56" s="53"/>
      <c r="I56" s="53"/>
      <c r="J56" s="53"/>
      <c r="K56" s="53"/>
      <c r="L56" s="53"/>
      <c r="M56" s="53"/>
      <c r="N56" s="379"/>
      <c r="O56" s="379"/>
      <c r="P56" s="379"/>
      <c r="Q56" s="34"/>
      <c r="R56" s="365"/>
      <c r="S56" s="413"/>
      <c r="T56" s="53"/>
      <c r="U56" s="53"/>
      <c r="V56" s="53"/>
      <c r="W56" s="53"/>
      <c r="X56" s="53"/>
      <c r="Y56" s="58"/>
      <c r="Z56" s="379"/>
      <c r="AA56" s="379"/>
      <c r="AB56" s="379"/>
      <c r="AC56" s="34"/>
    </row>
    <row r="57" spans="1:29" ht="13.5" customHeight="1">
      <c r="A57" s="389"/>
      <c r="B57" s="390" t="s">
        <v>1443</v>
      </c>
      <c r="C57" s="136" t="s">
        <v>1084</v>
      </c>
      <c r="D57" s="365"/>
      <c r="E57" s="315">
        <f>SUM(F57:Q57)</f>
        <v>31320</v>
      </c>
      <c r="F57" s="412">
        <v>853</v>
      </c>
      <c r="G57" s="53"/>
      <c r="H57" s="53">
        <v>17073</v>
      </c>
      <c r="I57" s="53"/>
      <c r="J57" s="53"/>
      <c r="K57" s="53">
        <v>13394</v>
      </c>
      <c r="L57" s="53"/>
      <c r="M57" s="53"/>
      <c r="N57" s="379"/>
      <c r="O57" s="379"/>
      <c r="P57" s="379"/>
      <c r="Q57" s="34"/>
      <c r="R57" s="365">
        <f>SUM(S57:AD57)</f>
        <v>31320</v>
      </c>
      <c r="S57" s="413">
        <v>15931</v>
      </c>
      <c r="T57" s="53">
        <v>4029</v>
      </c>
      <c r="U57" s="53">
        <v>11360</v>
      </c>
      <c r="V57" s="53"/>
      <c r="W57" s="53"/>
      <c r="X57" s="53"/>
      <c r="Y57" s="58"/>
      <c r="Z57" s="379"/>
      <c r="AA57" s="379"/>
      <c r="AB57" s="379"/>
      <c r="AC57" s="34"/>
    </row>
    <row r="58" spans="1:29" ht="13.5" customHeight="1">
      <c r="A58" s="317"/>
      <c r="B58" s="390" t="s">
        <v>1444</v>
      </c>
      <c r="C58" s="136" t="s">
        <v>978</v>
      </c>
      <c r="D58" s="365"/>
      <c r="E58" s="315">
        <f>SUM(F58:Q58)</f>
        <v>35605</v>
      </c>
      <c r="F58" s="412">
        <v>894</v>
      </c>
      <c r="G58" s="53"/>
      <c r="H58" s="53">
        <v>19680</v>
      </c>
      <c r="I58" s="53"/>
      <c r="J58" s="53"/>
      <c r="K58" s="53">
        <v>15031</v>
      </c>
      <c r="L58" s="53"/>
      <c r="M58" s="53"/>
      <c r="N58" s="379"/>
      <c r="O58" s="379"/>
      <c r="P58" s="379"/>
      <c r="Q58" s="34"/>
      <c r="R58" s="365">
        <f>SUM(S58:AD58)</f>
        <v>35605</v>
      </c>
      <c r="S58" s="413">
        <v>17669</v>
      </c>
      <c r="T58" s="53">
        <v>4390</v>
      </c>
      <c r="U58" s="53">
        <v>13546</v>
      </c>
      <c r="V58" s="53"/>
      <c r="W58" s="53"/>
      <c r="X58" s="53"/>
      <c r="Y58" s="58"/>
      <c r="Z58" s="379"/>
      <c r="AA58" s="379"/>
      <c r="AB58" s="379"/>
      <c r="AC58" s="34"/>
    </row>
    <row r="59" spans="1:29" ht="13.5" customHeight="1">
      <c r="A59" s="317"/>
      <c r="B59" s="390" t="s">
        <v>1445</v>
      </c>
      <c r="C59" s="136" t="s">
        <v>979</v>
      </c>
      <c r="D59" s="365"/>
      <c r="E59" s="315">
        <f>SUM(F59:Q59)</f>
        <v>34965</v>
      </c>
      <c r="F59" s="412">
        <v>1339</v>
      </c>
      <c r="G59" s="53"/>
      <c r="H59" s="53">
        <v>21333</v>
      </c>
      <c r="I59" s="53"/>
      <c r="J59" s="53"/>
      <c r="K59" s="53">
        <v>12960</v>
      </c>
      <c r="L59" s="53">
        <v>-667</v>
      </c>
      <c r="M59" s="53"/>
      <c r="N59" s="379"/>
      <c r="O59" s="379"/>
      <c r="P59" s="379"/>
      <c r="Q59" s="34"/>
      <c r="R59" s="365">
        <f>SUM(S59:AD59)</f>
        <v>34708</v>
      </c>
      <c r="S59" s="413">
        <v>17655</v>
      </c>
      <c r="T59" s="53">
        <v>4516</v>
      </c>
      <c r="U59" s="53">
        <v>12537</v>
      </c>
      <c r="V59" s="53"/>
      <c r="W59" s="53"/>
      <c r="X59" s="53"/>
      <c r="Y59" s="58"/>
      <c r="Z59" s="379"/>
      <c r="AA59" s="379"/>
      <c r="AB59" s="379"/>
      <c r="AC59" s="34"/>
    </row>
    <row r="60" spans="1:29" ht="13.5" customHeight="1">
      <c r="A60" s="317"/>
      <c r="B60" s="390" t="s">
        <v>1446</v>
      </c>
      <c r="C60" s="136" t="s">
        <v>1414</v>
      </c>
      <c r="D60" s="365"/>
      <c r="E60" s="318">
        <f>ROUND(100*E59/E58,1)</f>
        <v>98.2</v>
      </c>
      <c r="F60" s="414">
        <f>ROUND(100*F59/F58,1)</f>
        <v>149.8</v>
      </c>
      <c r="G60" s="415"/>
      <c r="H60" s="415">
        <f>ROUND(100*H59/H58,1)</f>
        <v>108.4</v>
      </c>
      <c r="I60" s="415"/>
      <c r="J60" s="415"/>
      <c r="K60" s="415">
        <f>ROUND(100*K59/K58,1)</f>
        <v>86.2</v>
      </c>
      <c r="L60" s="53"/>
      <c r="M60" s="53"/>
      <c r="N60" s="379"/>
      <c r="O60" s="379"/>
      <c r="P60" s="379"/>
      <c r="Q60" s="34"/>
      <c r="R60" s="416">
        <f>ROUND(100*R59/R58,1)</f>
        <v>97.5</v>
      </c>
      <c r="S60" s="417">
        <f>ROUND(100*S59/S58,1)</f>
        <v>99.9</v>
      </c>
      <c r="T60" s="415">
        <f>ROUND(100*T59/T58,1)</f>
        <v>102.9</v>
      </c>
      <c r="U60" s="415">
        <f>ROUND(100*U59/U58,1)</f>
        <v>92.6</v>
      </c>
      <c r="V60" s="53">
        <f>SUM(V58:V59)</f>
        <v>0</v>
      </c>
      <c r="W60" s="53"/>
      <c r="X60" s="53">
        <f>SUM(X58:X59)</f>
        <v>0</v>
      </c>
      <c r="Y60" s="58">
        <f>SUM(Y58:Y59)</f>
        <v>0</v>
      </c>
      <c r="Z60" s="379">
        <f>SUM(Z58:Z59)</f>
        <v>0</v>
      </c>
      <c r="AA60" s="379">
        <f>SUM(AA58:AA59)</f>
        <v>0</v>
      </c>
      <c r="AB60" s="379"/>
      <c r="AC60" s="34"/>
    </row>
    <row r="61" spans="1:29" ht="13.5" customHeight="1">
      <c r="A61" s="350" t="s">
        <v>1447</v>
      </c>
      <c r="B61" s="403"/>
      <c r="C61" s="344"/>
      <c r="D61" s="419"/>
      <c r="E61" s="323"/>
      <c r="F61" s="420"/>
      <c r="G61" s="421"/>
      <c r="H61" s="421"/>
      <c r="I61" s="421"/>
      <c r="J61" s="421"/>
      <c r="K61" s="421"/>
      <c r="L61" s="421"/>
      <c r="M61" s="421"/>
      <c r="N61" s="388"/>
      <c r="O61" s="388"/>
      <c r="P61" s="388"/>
      <c r="Q61" s="325"/>
      <c r="R61" s="419"/>
      <c r="S61" s="422"/>
      <c r="T61" s="421"/>
      <c r="U61" s="421"/>
      <c r="V61" s="421"/>
      <c r="W61" s="421"/>
      <c r="X61" s="421"/>
      <c r="Y61" s="344"/>
      <c r="Z61" s="388"/>
      <c r="AA61" s="388"/>
      <c r="AB61" s="388"/>
      <c r="AC61" s="325"/>
    </row>
    <row r="62" spans="1:29" ht="13.5" customHeight="1">
      <c r="A62" s="389"/>
      <c r="B62" s="223" t="s">
        <v>1039</v>
      </c>
      <c r="C62" s="136" t="s">
        <v>1084</v>
      </c>
      <c r="D62" s="365"/>
      <c r="E62" s="315">
        <f>SUM(F62:Q62)</f>
        <v>70321</v>
      </c>
      <c r="F62" s="412">
        <f>SUM(F52,F57)</f>
        <v>9618</v>
      </c>
      <c r="G62" s="53"/>
      <c r="H62" s="53">
        <f>SUM(H52,H57)</f>
        <v>47309</v>
      </c>
      <c r="I62" s="53"/>
      <c r="J62" s="53">
        <f>SUM(J52:J61)</f>
        <v>0</v>
      </c>
      <c r="K62" s="53">
        <f>SUM(K52,K57)</f>
        <v>13394</v>
      </c>
      <c r="L62" s="53">
        <f>SUM(L52,L57)</f>
        <v>0</v>
      </c>
      <c r="M62" s="53"/>
      <c r="N62" s="379"/>
      <c r="O62" s="379"/>
      <c r="P62" s="379"/>
      <c r="Q62" s="34"/>
      <c r="R62" s="365">
        <f>SUM(S62:AD62)</f>
        <v>70321</v>
      </c>
      <c r="S62" s="413">
        <f>SUM(S52,S57)</f>
        <v>31885</v>
      </c>
      <c r="T62" s="53">
        <f>SUM(T52,T57)</f>
        <v>8240</v>
      </c>
      <c r="U62" s="53">
        <f>SUM(U52,U57)</f>
        <v>30196</v>
      </c>
      <c r="V62" s="53"/>
      <c r="W62" s="53"/>
      <c r="X62" s="53"/>
      <c r="Y62" s="58"/>
      <c r="Z62" s="379"/>
      <c r="AA62" s="379"/>
      <c r="AB62" s="379"/>
      <c r="AC62" s="34"/>
    </row>
    <row r="63" spans="1:29" ht="13.5" customHeight="1">
      <c r="A63" s="328"/>
      <c r="B63" s="223" t="s">
        <v>1042</v>
      </c>
      <c r="C63" s="136" t="s">
        <v>978</v>
      </c>
      <c r="D63" s="365"/>
      <c r="E63" s="315">
        <f>SUM(F63:Q63)</f>
        <v>84689</v>
      </c>
      <c r="F63" s="412">
        <f aca="true" t="shared" si="5" ref="F63:M63">SUM(F53,F58)</f>
        <v>11008</v>
      </c>
      <c r="G63" s="53">
        <f t="shared" si="5"/>
        <v>0</v>
      </c>
      <c r="H63" s="53">
        <f t="shared" si="5"/>
        <v>58109</v>
      </c>
      <c r="I63" s="53">
        <f t="shared" si="5"/>
        <v>0</v>
      </c>
      <c r="J63" s="53">
        <f t="shared" si="5"/>
        <v>0</v>
      </c>
      <c r="K63" s="53">
        <f t="shared" si="5"/>
        <v>15572</v>
      </c>
      <c r="L63" s="53">
        <f>SUM(L53,L58)</f>
        <v>0</v>
      </c>
      <c r="M63" s="53">
        <f t="shared" si="5"/>
        <v>0</v>
      </c>
      <c r="N63" s="379"/>
      <c r="O63" s="379"/>
      <c r="P63" s="379"/>
      <c r="Q63" s="34"/>
      <c r="R63" s="365">
        <f>SUM(S63:AD63)</f>
        <v>84689</v>
      </c>
      <c r="S63" s="413">
        <f aca="true" t="shared" si="6" ref="S63:AA63">SUM(S53,S58)</f>
        <v>34537</v>
      </c>
      <c r="T63" s="53">
        <f t="shared" si="6"/>
        <v>8857</v>
      </c>
      <c r="U63" s="53">
        <f t="shared" si="6"/>
        <v>41295</v>
      </c>
      <c r="V63" s="53">
        <f t="shared" si="6"/>
        <v>0</v>
      </c>
      <c r="W63" s="53"/>
      <c r="X63" s="53">
        <f>SUM(X53,X58)</f>
        <v>0</v>
      </c>
      <c r="Y63" s="58">
        <f t="shared" si="6"/>
        <v>0</v>
      </c>
      <c r="Z63" s="379">
        <f t="shared" si="6"/>
        <v>0</v>
      </c>
      <c r="AA63" s="379">
        <f t="shared" si="6"/>
        <v>0</v>
      </c>
      <c r="AB63" s="379"/>
      <c r="AC63" s="34"/>
    </row>
    <row r="64" spans="1:29" ht="13.5" customHeight="1">
      <c r="A64" s="328"/>
      <c r="B64" s="223" t="s">
        <v>1045</v>
      </c>
      <c r="C64" s="136" t="s">
        <v>979</v>
      </c>
      <c r="D64" s="365"/>
      <c r="E64" s="326">
        <f>SUM(F64:Q64)</f>
        <v>81421</v>
      </c>
      <c r="F64" s="412">
        <f aca="true" t="shared" si="7" ref="F64:K64">SUM(F54,F59)</f>
        <v>12031</v>
      </c>
      <c r="G64" s="53">
        <f t="shared" si="7"/>
        <v>0</v>
      </c>
      <c r="H64" s="53">
        <f t="shared" si="7"/>
        <v>57677</v>
      </c>
      <c r="I64" s="53">
        <f t="shared" si="7"/>
        <v>0</v>
      </c>
      <c r="J64" s="53">
        <f t="shared" si="7"/>
        <v>0</v>
      </c>
      <c r="K64" s="53">
        <f t="shared" si="7"/>
        <v>14001</v>
      </c>
      <c r="L64" s="53">
        <f>SUM(L54,L59)</f>
        <v>2971</v>
      </c>
      <c r="M64" s="53">
        <f>SUM(M54,M59)</f>
        <v>0</v>
      </c>
      <c r="N64" s="379">
        <f>SUM(N54,N59)</f>
        <v>0</v>
      </c>
      <c r="O64" s="379">
        <f>SUM(O54,O59)</f>
        <v>-5259</v>
      </c>
      <c r="P64" s="379"/>
      <c r="Q64" s="34">
        <f>SUM(Q54,Q59)</f>
        <v>0</v>
      </c>
      <c r="R64" s="423">
        <f>SUM(S64:AC64)</f>
        <v>78661</v>
      </c>
      <c r="S64" s="413">
        <f>SUM(S54,S59)</f>
        <v>34395</v>
      </c>
      <c r="T64" s="53">
        <f>SUM(T54,T59)</f>
        <v>9047</v>
      </c>
      <c r="U64" s="53">
        <f>SUM(U54,U59)</f>
        <v>35262</v>
      </c>
      <c r="V64" s="53">
        <f aca="true" t="shared" si="8" ref="V64:AC64">SUM(V54,V59)</f>
        <v>0</v>
      </c>
      <c r="W64" s="53"/>
      <c r="X64" s="53">
        <f t="shared" si="8"/>
        <v>0</v>
      </c>
      <c r="Y64" s="58">
        <f t="shared" si="8"/>
        <v>0</v>
      </c>
      <c r="Z64" s="379">
        <f t="shared" si="8"/>
        <v>0</v>
      </c>
      <c r="AA64" s="379">
        <f t="shared" si="8"/>
        <v>0</v>
      </c>
      <c r="AB64" s="379">
        <f>SUM(AB54,AB59)</f>
        <v>-43</v>
      </c>
      <c r="AC64" s="34">
        <f t="shared" si="8"/>
        <v>0</v>
      </c>
    </row>
    <row r="65" spans="1:29" ht="13.5" customHeight="1">
      <c r="A65" s="424"/>
      <c r="B65" s="425" t="s">
        <v>1048</v>
      </c>
      <c r="C65" s="277" t="s">
        <v>1414</v>
      </c>
      <c r="D65" s="426"/>
      <c r="E65" s="356">
        <f>ROUND(100*E64/E63,1)</f>
        <v>96.1</v>
      </c>
      <c r="F65" s="427">
        <f>ROUND(100*F64/F63,1)</f>
        <v>109.3</v>
      </c>
      <c r="G65" s="428"/>
      <c r="H65" s="428">
        <f>ROUND(100*H64/H63,1)</f>
        <v>99.3</v>
      </c>
      <c r="I65" s="428"/>
      <c r="J65" s="428"/>
      <c r="K65" s="428">
        <f>ROUND(100*K64/K63,1)</f>
        <v>89.9</v>
      </c>
      <c r="L65" s="429"/>
      <c r="M65" s="254">
        <f>SUM(M63:M64)</f>
        <v>0</v>
      </c>
      <c r="N65" s="430">
        <f>SUM(N63:N64)</f>
        <v>0</v>
      </c>
      <c r="O65" s="430"/>
      <c r="P65" s="430"/>
      <c r="Q65" s="37">
        <f>SUM(Q63:Q64)</f>
        <v>0</v>
      </c>
      <c r="R65" s="431">
        <f>ROUND(100*R64/R63,1)</f>
        <v>92.9</v>
      </c>
      <c r="S65" s="432">
        <f>ROUND(100*S64/S63,1)</f>
        <v>99.6</v>
      </c>
      <c r="T65" s="428">
        <f>ROUND(100*T64/T63,1)</f>
        <v>102.1</v>
      </c>
      <c r="U65" s="428">
        <f>ROUND(100*U64/U63,1)</f>
        <v>85.4</v>
      </c>
      <c r="V65" s="254"/>
      <c r="W65" s="254"/>
      <c r="X65" s="429">
        <f>SUM(X63:X64)</f>
        <v>0</v>
      </c>
      <c r="Y65" s="366"/>
      <c r="Z65" s="433"/>
      <c r="AA65" s="433"/>
      <c r="AB65" s="433"/>
      <c r="AC65" s="37"/>
    </row>
    <row r="66" spans="1:29" ht="13.5" customHeight="1">
      <c r="A66" s="136"/>
      <c r="B66" s="58"/>
      <c r="C66" s="136"/>
      <c r="D66" s="136"/>
      <c r="E66" s="302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302"/>
      <c r="S66" s="136"/>
      <c r="T66" s="136"/>
      <c r="U66" s="136"/>
      <c r="V66" s="136"/>
      <c r="W66" s="136"/>
      <c r="X66" s="136"/>
      <c r="Y66" s="136"/>
      <c r="Z66" s="418"/>
      <c r="AA66" s="336"/>
      <c r="AB66" s="336"/>
      <c r="AC66" s="418"/>
    </row>
    <row r="67" spans="1:29" ht="13.5" customHeight="1">
      <c r="A67" s="136"/>
      <c r="B67" s="58"/>
      <c r="C67" s="136"/>
      <c r="D67" s="136"/>
      <c r="E67" s="302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302"/>
      <c r="S67" s="136"/>
      <c r="T67" s="136"/>
      <c r="U67" s="136"/>
      <c r="V67" s="136"/>
      <c r="W67" s="136"/>
      <c r="X67" s="136"/>
      <c r="Y67" s="136"/>
      <c r="Z67" s="418"/>
      <c r="AA67" s="336"/>
      <c r="AB67" s="336"/>
      <c r="AC67" s="418"/>
    </row>
    <row r="68" spans="1:29" ht="13.5" customHeight="1">
      <c r="A68" s="136"/>
      <c r="B68" s="58"/>
      <c r="C68" s="136"/>
      <c r="D68" s="136"/>
      <c r="E68" s="302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302"/>
      <c r="S68" s="136"/>
      <c r="T68" s="136"/>
      <c r="U68" s="136"/>
      <c r="V68" s="136"/>
      <c r="W68" s="136"/>
      <c r="X68" s="136"/>
      <c r="Y68" s="136"/>
      <c r="Z68" s="418"/>
      <c r="AA68" s="336"/>
      <c r="AB68" s="336"/>
      <c r="AC68" s="418"/>
    </row>
    <row r="69" spans="1:29" ht="13.5" customHeight="1">
      <c r="A69" s="136"/>
      <c r="B69" s="58"/>
      <c r="C69" s="136"/>
      <c r="D69" s="136"/>
      <c r="E69" s="302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302"/>
      <c r="S69" s="136"/>
      <c r="T69" s="136"/>
      <c r="U69" s="136"/>
      <c r="V69" s="136"/>
      <c r="W69" s="136"/>
      <c r="X69" s="136"/>
      <c r="Y69" s="136"/>
      <c r="Z69" s="418"/>
      <c r="AA69" s="336"/>
      <c r="AB69" s="336"/>
      <c r="AC69" s="418"/>
    </row>
    <row r="70" spans="1:29" ht="13.5" customHeight="1">
      <c r="A70" s="136"/>
      <c r="B70" s="58"/>
      <c r="C70" s="136"/>
      <c r="D70" s="136"/>
      <c r="E70" s="302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302"/>
      <c r="S70" s="136"/>
      <c r="T70" s="136"/>
      <c r="U70" s="136"/>
      <c r="V70" s="136"/>
      <c r="W70" s="136"/>
      <c r="X70" s="136"/>
      <c r="Y70" s="136"/>
      <c r="Z70" s="418"/>
      <c r="AA70" s="336"/>
      <c r="AB70" s="336"/>
      <c r="AC70" s="418"/>
    </row>
    <row r="71" spans="1:29" ht="13.5" customHeight="1">
      <c r="A71" s="136"/>
      <c r="B71" s="58"/>
      <c r="C71" s="136"/>
      <c r="D71" s="136"/>
      <c r="E71" s="302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302"/>
      <c r="S71" s="136"/>
      <c r="T71" s="136"/>
      <c r="U71" s="136"/>
      <c r="V71" s="136"/>
      <c r="W71" s="136"/>
      <c r="X71" s="136"/>
      <c r="Y71" s="136"/>
      <c r="Z71" s="418"/>
      <c r="AA71" s="336"/>
      <c r="AB71" s="336"/>
      <c r="AC71" s="418"/>
    </row>
    <row r="72" spans="1:29" ht="13.5" customHeight="1">
      <c r="A72" s="136"/>
      <c r="B72" s="58"/>
      <c r="C72" s="136"/>
      <c r="D72" s="136"/>
      <c r="E72" s="302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302"/>
      <c r="S72" s="136"/>
      <c r="T72" s="136"/>
      <c r="U72" s="136"/>
      <c r="V72" s="136"/>
      <c r="W72" s="136"/>
      <c r="X72" s="136"/>
      <c r="Y72" s="136"/>
      <c r="Z72" s="418"/>
      <c r="AA72" s="336"/>
      <c r="AB72" s="336"/>
      <c r="AC72" s="418"/>
    </row>
    <row r="73" spans="1:29" ht="13.5" customHeight="1">
      <c r="A73" s="136"/>
      <c r="B73" s="58"/>
      <c r="C73" s="136"/>
      <c r="D73" s="136"/>
      <c r="E73" s="302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302"/>
      <c r="S73" s="136"/>
      <c r="T73" s="136"/>
      <c r="U73" s="136"/>
      <c r="V73" s="136"/>
      <c r="W73" s="136"/>
      <c r="X73" s="136"/>
      <c r="Y73" s="136"/>
      <c r="Z73" s="418"/>
      <c r="AA73" s="336"/>
      <c r="AB73" s="336"/>
      <c r="AC73" s="418"/>
    </row>
    <row r="74" spans="1:29" ht="13.5" customHeight="1">
      <c r="A74" s="136"/>
      <c r="B74" s="58"/>
      <c r="C74" s="136"/>
      <c r="D74" s="136"/>
      <c r="E74" s="302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302"/>
      <c r="S74" s="136"/>
      <c r="T74" s="136"/>
      <c r="U74" s="136"/>
      <c r="V74" s="136"/>
      <c r="W74" s="136"/>
      <c r="X74" s="136"/>
      <c r="Y74" s="136"/>
      <c r="Z74" s="418"/>
      <c r="AA74" s="336"/>
      <c r="AB74" s="336"/>
      <c r="AC74" s="418"/>
    </row>
    <row r="75" spans="1:29" ht="13.5" customHeight="1">
      <c r="A75" s="136"/>
      <c r="B75" s="58"/>
      <c r="C75" s="136"/>
      <c r="D75" s="136"/>
      <c r="E75" s="302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302"/>
      <c r="S75" s="136"/>
      <c r="T75" s="136"/>
      <c r="U75" s="136"/>
      <c r="V75" s="136"/>
      <c r="W75" s="136"/>
      <c r="X75" s="136"/>
      <c r="Y75" s="136"/>
      <c r="Z75" s="418"/>
      <c r="AA75" s="336"/>
      <c r="AB75" s="336"/>
      <c r="AC75" s="418"/>
    </row>
    <row r="76" spans="1:29" ht="13.5" customHeight="1">
      <c r="A76" s="136"/>
      <c r="B76" s="58"/>
      <c r="C76" s="136"/>
      <c r="D76" s="136"/>
      <c r="E76" s="302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302"/>
      <c r="S76" s="136"/>
      <c r="T76" s="136"/>
      <c r="U76" s="136"/>
      <c r="V76" s="136"/>
      <c r="W76" s="136"/>
      <c r="X76" s="136"/>
      <c r="Y76" s="136"/>
      <c r="Z76" s="418"/>
      <c r="AA76" s="336"/>
      <c r="AB76" s="336"/>
      <c r="AC76" s="418"/>
    </row>
    <row r="77" spans="1:29" ht="13.5" customHeight="1">
      <c r="A77" s="136"/>
      <c r="B77" s="58"/>
      <c r="C77" s="136"/>
      <c r="D77" s="136"/>
      <c r="E77" s="302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302"/>
      <c r="S77" s="136"/>
      <c r="T77" s="136"/>
      <c r="U77" s="136"/>
      <c r="V77" s="136"/>
      <c r="W77" s="136"/>
      <c r="X77" s="136"/>
      <c r="Y77" s="136"/>
      <c r="Z77" s="418"/>
      <c r="AA77" s="336"/>
      <c r="AB77" s="336"/>
      <c r="AC77" s="418"/>
    </row>
    <row r="78" spans="1:29" ht="13.5" customHeight="1">
      <c r="A78" s="136"/>
      <c r="B78" s="58"/>
      <c r="C78" s="136"/>
      <c r="D78" s="136"/>
      <c r="E78" s="302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302"/>
      <c r="S78" s="136"/>
      <c r="T78" s="136"/>
      <c r="U78" s="136"/>
      <c r="V78" s="136"/>
      <c r="W78" s="136"/>
      <c r="X78" s="136"/>
      <c r="Y78" s="136"/>
      <c r="Z78" s="418"/>
      <c r="AA78" s="336"/>
      <c r="AB78" s="336"/>
      <c r="AC78" s="418"/>
    </row>
    <row r="79" spans="1:29" ht="13.5" customHeight="1">
      <c r="A79" s="136"/>
      <c r="B79" s="58"/>
      <c r="C79" s="136"/>
      <c r="D79" s="136"/>
      <c r="E79" s="302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302"/>
      <c r="S79" s="136"/>
      <c r="T79" s="136"/>
      <c r="U79" s="136"/>
      <c r="V79" s="136"/>
      <c r="W79" s="136"/>
      <c r="X79" s="136"/>
      <c r="Y79" s="136"/>
      <c r="Z79" s="418"/>
      <c r="AA79" s="336"/>
      <c r="AB79" s="336"/>
      <c r="AC79" s="418"/>
    </row>
    <row r="80" spans="1:29" ht="13.5" customHeight="1">
      <c r="A80" s="136"/>
      <c r="B80" s="58"/>
      <c r="C80" s="136"/>
      <c r="D80" s="136"/>
      <c r="E80" s="302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302"/>
      <c r="S80" s="136"/>
      <c r="T80" s="136"/>
      <c r="U80" s="136"/>
      <c r="V80" s="136"/>
      <c r="W80" s="136"/>
      <c r="X80" s="136"/>
      <c r="Y80" s="136"/>
      <c r="Z80" s="418"/>
      <c r="AA80" s="336"/>
      <c r="AB80" s="336"/>
      <c r="AC80" s="418"/>
    </row>
    <row r="81" spans="1:29" ht="13.5" customHeight="1">
      <c r="A81" s="136"/>
      <c r="B81" s="58"/>
      <c r="C81" s="136"/>
      <c r="D81" s="136"/>
      <c r="E81" s="302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302"/>
      <c r="S81" s="136"/>
      <c r="T81" s="136"/>
      <c r="U81" s="136"/>
      <c r="V81" s="136"/>
      <c r="W81" s="136"/>
      <c r="X81" s="136"/>
      <c r="Y81" s="136"/>
      <c r="Z81" s="418"/>
      <c r="AA81" s="336"/>
      <c r="AB81" s="336"/>
      <c r="AC81" s="418"/>
    </row>
    <row r="82" spans="1:29" ht="13.5" customHeight="1">
      <c r="A82" s="136"/>
      <c r="B82" s="58"/>
      <c r="C82" s="136"/>
      <c r="D82" s="136"/>
      <c r="E82" s="302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302"/>
      <c r="S82" s="136"/>
      <c r="T82" s="136"/>
      <c r="U82" s="136"/>
      <c r="V82" s="136"/>
      <c r="W82" s="136"/>
      <c r="X82" s="136"/>
      <c r="Y82" s="136"/>
      <c r="Z82" s="418"/>
      <c r="AA82" s="336"/>
      <c r="AB82" s="336"/>
      <c r="AC82" s="418"/>
    </row>
    <row r="83" spans="1:29" ht="13.5" customHeight="1">
      <c r="A83" s="136"/>
      <c r="B83" s="58"/>
      <c r="C83" s="136"/>
      <c r="D83" s="136"/>
      <c r="E83" s="302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302"/>
      <c r="S83" s="136"/>
      <c r="T83" s="136"/>
      <c r="U83" s="136"/>
      <c r="V83" s="136"/>
      <c r="W83" s="136"/>
      <c r="X83" s="136"/>
      <c r="Y83" s="136"/>
      <c r="Z83" s="418"/>
      <c r="AA83" s="336"/>
      <c r="AB83" s="336"/>
      <c r="AC83" s="418"/>
    </row>
    <row r="84" spans="1:29" ht="13.5" customHeight="1">
      <c r="A84" s="136"/>
      <c r="B84" s="58"/>
      <c r="C84" s="136"/>
      <c r="D84" s="136"/>
      <c r="E84" s="302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302"/>
      <c r="S84" s="136"/>
      <c r="T84" s="136"/>
      <c r="U84" s="136"/>
      <c r="V84" s="136"/>
      <c r="W84" s="136"/>
      <c r="X84" s="136"/>
      <c r="Y84" s="136"/>
      <c r="Z84" s="418"/>
      <c r="AA84" s="336"/>
      <c r="AB84" s="336"/>
      <c r="AC84" s="418"/>
    </row>
    <row r="85" spans="1:29" ht="13.5" customHeight="1">
      <c r="A85" s="136"/>
      <c r="B85" s="58"/>
      <c r="C85" s="136"/>
      <c r="D85" s="136"/>
      <c r="E85" s="302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302"/>
      <c r="S85" s="136"/>
      <c r="T85" s="136"/>
      <c r="U85" s="136"/>
      <c r="V85" s="136"/>
      <c r="W85" s="136"/>
      <c r="X85" s="136"/>
      <c r="Y85" s="136"/>
      <c r="Z85" s="418"/>
      <c r="AA85" s="336"/>
      <c r="AB85" s="336"/>
      <c r="AC85" s="336" t="s">
        <v>1448</v>
      </c>
    </row>
    <row r="86" spans="1:26" ht="13.5" customHeight="1">
      <c r="A86" s="136"/>
      <c r="B86" s="58"/>
      <c r="C86" s="136"/>
      <c r="D86" s="136"/>
      <c r="E86" s="302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302"/>
      <c r="S86" s="136"/>
      <c r="T86" s="136"/>
      <c r="U86" s="136"/>
      <c r="V86" s="136"/>
      <c r="W86" s="136"/>
      <c r="X86" s="136"/>
      <c r="Y86" s="136"/>
      <c r="Z86" s="418"/>
    </row>
    <row r="87" spans="1:29" ht="13.5" customHeight="1">
      <c r="A87" s="136"/>
      <c r="B87" s="58"/>
      <c r="C87" s="136"/>
      <c r="D87" s="136"/>
      <c r="E87" s="302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302"/>
      <c r="S87" s="136"/>
      <c r="T87" s="136"/>
      <c r="U87" s="136"/>
      <c r="V87" s="136"/>
      <c r="W87" s="136"/>
      <c r="X87" s="136"/>
      <c r="Y87" s="136"/>
      <c r="Z87" s="58"/>
      <c r="AA87" s="418"/>
      <c r="AB87" s="418"/>
      <c r="AC87" s="336" t="s">
        <v>1305</v>
      </c>
    </row>
    <row r="88" spans="1:29" ht="13.5" customHeight="1">
      <c r="A88" s="1071" t="s">
        <v>960</v>
      </c>
      <c r="B88" s="1071"/>
      <c r="C88" s="1071"/>
      <c r="D88" s="277"/>
      <c r="E88" s="269" t="s">
        <v>961</v>
      </c>
      <c r="F88" s="269" t="s">
        <v>962</v>
      </c>
      <c r="G88" s="269" t="s">
        <v>963</v>
      </c>
      <c r="H88" s="269" t="s">
        <v>964</v>
      </c>
      <c r="I88" s="269" t="s">
        <v>965</v>
      </c>
      <c r="J88" s="269" t="s">
        <v>966</v>
      </c>
      <c r="K88" s="269" t="s">
        <v>967</v>
      </c>
      <c r="L88" s="269" t="s">
        <v>968</v>
      </c>
      <c r="M88" s="269" t="s">
        <v>969</v>
      </c>
      <c r="N88" s="269" t="s">
        <v>970</v>
      </c>
      <c r="O88" s="269" t="s">
        <v>971</v>
      </c>
      <c r="P88" s="269" t="s">
        <v>972</v>
      </c>
      <c r="Q88" s="269" t="s">
        <v>973</v>
      </c>
      <c r="R88" s="269" t="s">
        <v>1480</v>
      </c>
      <c r="S88" s="269" t="s">
        <v>1481</v>
      </c>
      <c r="T88" s="269" t="s">
        <v>1482</v>
      </c>
      <c r="U88" s="269" t="s">
        <v>1483</v>
      </c>
      <c r="V88" s="269" t="s">
        <v>1484</v>
      </c>
      <c r="W88" s="269" t="s">
        <v>1485</v>
      </c>
      <c r="X88" s="338" t="s">
        <v>1486</v>
      </c>
      <c r="Y88" s="10" t="s">
        <v>1487</v>
      </c>
      <c r="Z88" s="10" t="s">
        <v>1488</v>
      </c>
      <c r="AA88" s="363" t="s">
        <v>1489</v>
      </c>
      <c r="AB88" s="10" t="s">
        <v>1490</v>
      </c>
      <c r="AC88" s="10" t="s">
        <v>1491</v>
      </c>
    </row>
    <row r="89" spans="1:29" ht="13.5" customHeight="1">
      <c r="A89" s="270" t="s">
        <v>1492</v>
      </c>
      <c r="B89" s="259"/>
      <c r="C89" s="259"/>
      <c r="D89" s="259"/>
      <c r="E89" s="271" t="s">
        <v>1405</v>
      </c>
      <c r="F89" s="272" t="s">
        <v>1493</v>
      </c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271" t="s">
        <v>1405</v>
      </c>
      <c r="S89" s="259" t="s">
        <v>1494</v>
      </c>
      <c r="T89" s="259"/>
      <c r="U89" s="259"/>
      <c r="V89" s="259"/>
      <c r="W89" s="259"/>
      <c r="X89" s="259"/>
      <c r="Y89" s="259"/>
      <c r="Z89" s="364"/>
      <c r="AA89" s="364"/>
      <c r="AB89" s="364"/>
      <c r="AC89" s="365"/>
    </row>
    <row r="90" spans="1:29" ht="13.5" customHeight="1">
      <c r="A90" s="274"/>
      <c r="B90" s="136"/>
      <c r="C90" s="136"/>
      <c r="D90" s="136"/>
      <c r="E90" s="275" t="s">
        <v>1407</v>
      </c>
      <c r="F90" s="276"/>
      <c r="G90" s="277"/>
      <c r="H90" s="277"/>
      <c r="I90" s="277"/>
      <c r="J90" s="277"/>
      <c r="K90" s="136"/>
      <c r="L90" s="136"/>
      <c r="M90" s="136"/>
      <c r="N90" s="277"/>
      <c r="O90" s="136"/>
      <c r="P90" s="136"/>
      <c r="Q90" s="136"/>
      <c r="R90" s="275" t="s">
        <v>1409</v>
      </c>
      <c r="S90" s="277"/>
      <c r="T90" s="277"/>
      <c r="U90" s="277"/>
      <c r="V90" s="277"/>
      <c r="W90" s="277"/>
      <c r="X90" s="277"/>
      <c r="Y90" s="277"/>
      <c r="Z90" s="366"/>
      <c r="AA90" s="366"/>
      <c r="AB90" s="366"/>
      <c r="AC90" s="426"/>
    </row>
    <row r="91" spans="1:29" ht="13.5" customHeight="1">
      <c r="A91" s="274"/>
      <c r="B91" s="136"/>
      <c r="C91" s="136"/>
      <c r="D91" s="136"/>
      <c r="E91" s="275" t="s">
        <v>1404</v>
      </c>
      <c r="F91" s="367" t="s">
        <v>1495</v>
      </c>
      <c r="G91" s="368" t="s">
        <v>1496</v>
      </c>
      <c r="H91" s="369" t="s">
        <v>1497</v>
      </c>
      <c r="I91" s="369" t="s">
        <v>1496</v>
      </c>
      <c r="J91" s="369" t="s">
        <v>1498</v>
      </c>
      <c r="K91" s="369" t="s">
        <v>1499</v>
      </c>
      <c r="L91" s="369" t="s">
        <v>1500</v>
      </c>
      <c r="M91" s="369" t="s">
        <v>1501</v>
      </c>
      <c r="N91" s="369" t="s">
        <v>1500</v>
      </c>
      <c r="O91" s="370" t="s">
        <v>1502</v>
      </c>
      <c r="P91" s="369" t="s">
        <v>1503</v>
      </c>
      <c r="Q91" s="371" t="s">
        <v>1504</v>
      </c>
      <c r="R91" s="275" t="s">
        <v>1404</v>
      </c>
      <c r="S91" s="367" t="s">
        <v>1505</v>
      </c>
      <c r="T91" s="369" t="s">
        <v>1506</v>
      </c>
      <c r="U91" s="369" t="s">
        <v>1507</v>
      </c>
      <c r="V91" s="369" t="s">
        <v>1508</v>
      </c>
      <c r="W91" s="368" t="s">
        <v>1503</v>
      </c>
      <c r="X91" s="368" t="s">
        <v>1500</v>
      </c>
      <c r="Y91" s="259" t="s">
        <v>1509</v>
      </c>
      <c r="Z91" s="372" t="s">
        <v>1510</v>
      </c>
      <c r="AA91" s="372" t="s">
        <v>1511</v>
      </c>
      <c r="AB91" s="372" t="s">
        <v>1502</v>
      </c>
      <c r="AC91" s="21" t="s">
        <v>1405</v>
      </c>
    </row>
    <row r="92" spans="1:29" ht="13.5" customHeight="1">
      <c r="A92" s="274"/>
      <c r="B92" s="136"/>
      <c r="C92" s="136"/>
      <c r="D92" s="136"/>
      <c r="E92" s="275"/>
      <c r="F92" s="373" t="s">
        <v>1512</v>
      </c>
      <c r="G92" s="374" t="s">
        <v>1513</v>
      </c>
      <c r="H92" s="375" t="s">
        <v>1514</v>
      </c>
      <c r="I92" s="375" t="s">
        <v>1513</v>
      </c>
      <c r="J92" s="375" t="s">
        <v>1515</v>
      </c>
      <c r="K92" s="375" t="s">
        <v>1516</v>
      </c>
      <c r="L92" s="375" t="s">
        <v>1517</v>
      </c>
      <c r="M92" s="375" t="s">
        <v>1518</v>
      </c>
      <c r="N92" s="375" t="s">
        <v>1517</v>
      </c>
      <c r="O92" s="376" t="s">
        <v>1519</v>
      </c>
      <c r="P92" s="375" t="s">
        <v>1520</v>
      </c>
      <c r="Q92" s="377" t="s">
        <v>1521</v>
      </c>
      <c r="R92" s="275"/>
      <c r="S92" s="373" t="s">
        <v>1522</v>
      </c>
      <c r="T92" s="375" t="s">
        <v>1523</v>
      </c>
      <c r="U92" s="375" t="s">
        <v>1409</v>
      </c>
      <c r="V92" s="375" t="s">
        <v>1524</v>
      </c>
      <c r="W92" s="374" t="s">
        <v>1520</v>
      </c>
      <c r="X92" s="374" t="s">
        <v>1517</v>
      </c>
      <c r="Y92" s="136" t="s">
        <v>1525</v>
      </c>
      <c r="Z92" s="378" t="s">
        <v>1526</v>
      </c>
      <c r="AA92" s="378" t="s">
        <v>1527</v>
      </c>
      <c r="AB92" s="378" t="s">
        <v>1528</v>
      </c>
      <c r="AC92" s="34" t="s">
        <v>1529</v>
      </c>
    </row>
    <row r="93" spans="1:29" ht="13.5" customHeight="1">
      <c r="A93" s="274"/>
      <c r="B93" s="136"/>
      <c r="C93" s="136"/>
      <c r="D93" s="136"/>
      <c r="E93" s="275"/>
      <c r="F93" s="373" t="s">
        <v>1530</v>
      </c>
      <c r="G93" s="374" t="s">
        <v>1531</v>
      </c>
      <c r="H93" s="375" t="s">
        <v>1532</v>
      </c>
      <c r="I93" s="375" t="s">
        <v>1533</v>
      </c>
      <c r="J93" s="375" t="s">
        <v>1534</v>
      </c>
      <c r="K93" s="375" t="s">
        <v>1534</v>
      </c>
      <c r="L93" s="375" t="s">
        <v>1535</v>
      </c>
      <c r="M93" s="375" t="s">
        <v>1536</v>
      </c>
      <c r="N93" s="375" t="s">
        <v>1535</v>
      </c>
      <c r="O93" s="376" t="s">
        <v>1537</v>
      </c>
      <c r="P93" s="375" t="s">
        <v>1529</v>
      </c>
      <c r="Q93" s="377" t="s">
        <v>1538</v>
      </c>
      <c r="R93" s="275"/>
      <c r="S93" s="373" t="s">
        <v>1539</v>
      </c>
      <c r="T93" s="375" t="s">
        <v>1540</v>
      </c>
      <c r="U93" s="375"/>
      <c r="V93" s="375" t="s">
        <v>1541</v>
      </c>
      <c r="W93" s="374" t="s">
        <v>1529</v>
      </c>
      <c r="X93" s="374" t="s">
        <v>1535</v>
      </c>
      <c r="Y93" s="136" t="s">
        <v>1542</v>
      </c>
      <c r="Z93" s="379"/>
      <c r="AA93" s="379"/>
      <c r="AB93" s="379" t="s">
        <v>1537</v>
      </c>
      <c r="AC93" s="34" t="s">
        <v>1543</v>
      </c>
    </row>
    <row r="94" spans="1:29" ht="13.5" customHeight="1">
      <c r="A94" s="274"/>
      <c r="B94" s="136"/>
      <c r="C94" s="136"/>
      <c r="D94" s="136"/>
      <c r="E94" s="275"/>
      <c r="F94" s="373" t="s">
        <v>1407</v>
      </c>
      <c r="G94" s="374" t="s">
        <v>1544</v>
      </c>
      <c r="H94" s="375" t="s">
        <v>1545</v>
      </c>
      <c r="I94" s="375" t="s">
        <v>1546</v>
      </c>
      <c r="J94" s="375" t="s">
        <v>1547</v>
      </c>
      <c r="K94" s="375" t="s">
        <v>1547</v>
      </c>
      <c r="L94" s="375" t="s">
        <v>1548</v>
      </c>
      <c r="M94" s="375"/>
      <c r="N94" s="375" t="s">
        <v>1549</v>
      </c>
      <c r="O94" s="376" t="s">
        <v>1550</v>
      </c>
      <c r="P94" s="375" t="s">
        <v>1407</v>
      </c>
      <c r="Q94" s="377" t="s">
        <v>1551</v>
      </c>
      <c r="R94" s="275"/>
      <c r="S94" s="373"/>
      <c r="T94" s="375" t="s">
        <v>1552</v>
      </c>
      <c r="U94" s="375"/>
      <c r="V94" s="375" t="s">
        <v>1553</v>
      </c>
      <c r="W94" s="374" t="s">
        <v>1409</v>
      </c>
      <c r="X94" s="374" t="s">
        <v>1554</v>
      </c>
      <c r="Y94" s="136" t="s">
        <v>1555</v>
      </c>
      <c r="Z94" s="379"/>
      <c r="AA94" s="379"/>
      <c r="AB94" s="378" t="s">
        <v>1556</v>
      </c>
      <c r="AC94" s="34" t="s">
        <v>1557</v>
      </c>
    </row>
    <row r="95" spans="1:29" ht="13.5" customHeight="1">
      <c r="A95" s="274"/>
      <c r="B95" s="136"/>
      <c r="C95" s="136"/>
      <c r="D95" s="136"/>
      <c r="E95" s="275"/>
      <c r="F95" s="373"/>
      <c r="G95" s="374" t="s">
        <v>1558</v>
      </c>
      <c r="H95" s="375" t="s">
        <v>1559</v>
      </c>
      <c r="I95" s="375" t="s">
        <v>1560</v>
      </c>
      <c r="J95" s="375" t="s">
        <v>1561</v>
      </c>
      <c r="K95" s="375" t="s">
        <v>1561</v>
      </c>
      <c r="L95" s="375"/>
      <c r="M95" s="375"/>
      <c r="N95" s="375" t="s">
        <v>1562</v>
      </c>
      <c r="O95" s="268"/>
      <c r="P95" s="375"/>
      <c r="Q95" s="381"/>
      <c r="R95" s="275"/>
      <c r="S95" s="281"/>
      <c r="T95" s="49"/>
      <c r="U95" s="375"/>
      <c r="V95" s="375" t="s">
        <v>1563</v>
      </c>
      <c r="W95" s="374"/>
      <c r="X95" s="374"/>
      <c r="Y95" s="136" t="s">
        <v>1564</v>
      </c>
      <c r="Z95" s="379"/>
      <c r="AA95" s="379"/>
      <c r="AB95" s="379"/>
      <c r="AC95" s="34" t="s">
        <v>1565</v>
      </c>
    </row>
    <row r="96" spans="1:29" ht="14.25">
      <c r="A96" s="276"/>
      <c r="B96" s="277"/>
      <c r="C96" s="277"/>
      <c r="D96" s="277"/>
      <c r="E96" s="282"/>
      <c r="F96" s="434"/>
      <c r="G96" s="435" t="s">
        <v>1566</v>
      </c>
      <c r="H96" s="67" t="s">
        <v>1563</v>
      </c>
      <c r="I96" s="67" t="s">
        <v>1567</v>
      </c>
      <c r="J96" s="67"/>
      <c r="K96" s="67"/>
      <c r="L96" s="67"/>
      <c r="M96" s="67"/>
      <c r="N96" s="67" t="s">
        <v>1568</v>
      </c>
      <c r="O96" s="436"/>
      <c r="P96" s="437"/>
      <c r="Q96" s="438"/>
      <c r="R96" s="282"/>
      <c r="S96" s="283"/>
      <c r="T96" s="439"/>
      <c r="U96" s="439"/>
      <c r="V96" s="439"/>
      <c r="W96" s="284"/>
      <c r="X96" s="284"/>
      <c r="Y96" s="277"/>
      <c r="Z96" s="433"/>
      <c r="AA96" s="440"/>
      <c r="AB96" s="441"/>
      <c r="AC96" s="442"/>
    </row>
    <row r="97" spans="1:29" ht="14.25">
      <c r="A97" s="317" t="s">
        <v>1449</v>
      </c>
      <c r="B97" s="344"/>
      <c r="C97" s="344"/>
      <c r="D97" s="419"/>
      <c r="E97" s="323">
        <f>SUM(F97:N97)</f>
        <v>0</v>
      </c>
      <c r="F97" s="420"/>
      <c r="G97" s="421"/>
      <c r="H97" s="421"/>
      <c r="I97" s="421"/>
      <c r="J97" s="421"/>
      <c r="K97" s="421"/>
      <c r="L97" s="421"/>
      <c r="M97" s="421"/>
      <c r="N97" s="388"/>
      <c r="O97" s="388"/>
      <c r="P97" s="388"/>
      <c r="Q97" s="325"/>
      <c r="R97" s="419"/>
      <c r="S97" s="422"/>
      <c r="T97" s="421"/>
      <c r="U97" s="421"/>
      <c r="V97" s="421"/>
      <c r="W97" s="422"/>
      <c r="X97" s="422"/>
      <c r="Y97" s="344"/>
      <c r="Z97" s="388"/>
      <c r="AA97" s="379"/>
      <c r="AB97" s="379"/>
      <c r="AC97" s="34"/>
    </row>
    <row r="98" spans="1:29" ht="14.25">
      <c r="A98" s="389"/>
      <c r="B98" s="390" t="s">
        <v>1450</v>
      </c>
      <c r="C98" s="136" t="s">
        <v>1084</v>
      </c>
      <c r="D98" s="365"/>
      <c r="E98" s="315">
        <f>SUM(F98:Q98)</f>
        <v>137633</v>
      </c>
      <c r="F98" s="412">
        <v>570</v>
      </c>
      <c r="G98" s="53"/>
      <c r="H98" s="53">
        <f>R98-F98</f>
        <v>137063</v>
      </c>
      <c r="I98" s="53"/>
      <c r="J98" s="53"/>
      <c r="K98" s="53"/>
      <c r="L98" s="53"/>
      <c r="M98" s="53"/>
      <c r="N98" s="379"/>
      <c r="O98" s="379"/>
      <c r="P98" s="379"/>
      <c r="Q98" s="34"/>
      <c r="R98" s="365">
        <f>SUM(S98:AD98)</f>
        <v>137633</v>
      </c>
      <c r="S98" s="413">
        <f>92086+(39*10)</f>
        <v>92476</v>
      </c>
      <c r="T98" s="53">
        <v>24382</v>
      </c>
      <c r="U98" s="53">
        <f>16677+98+4000</f>
        <v>20775</v>
      </c>
      <c r="V98" s="53"/>
      <c r="W98" s="413"/>
      <c r="X98" s="413"/>
      <c r="Y98" s="58"/>
      <c r="Z98" s="379"/>
      <c r="AA98" s="379"/>
      <c r="AB98" s="379"/>
      <c r="AC98" s="34"/>
    </row>
    <row r="99" spans="1:29" ht="14.25">
      <c r="A99" s="317"/>
      <c r="B99" s="390" t="s">
        <v>1451</v>
      </c>
      <c r="C99" s="136" t="s">
        <v>978</v>
      </c>
      <c r="D99" s="365"/>
      <c r="E99" s="315">
        <f>SUM(F99:Q99)</f>
        <v>158561</v>
      </c>
      <c r="F99" s="412">
        <v>570</v>
      </c>
      <c r="G99" s="53"/>
      <c r="H99" s="53">
        <v>147952</v>
      </c>
      <c r="I99" s="53"/>
      <c r="J99" s="53"/>
      <c r="K99" s="53">
        <v>7407</v>
      </c>
      <c r="L99" s="53"/>
      <c r="M99" s="53"/>
      <c r="N99" s="379">
        <v>2632</v>
      </c>
      <c r="O99" s="379"/>
      <c r="P99" s="379"/>
      <c r="Q99" s="34"/>
      <c r="R99" s="365">
        <f>SUM(S99:AD99)</f>
        <v>158561</v>
      </c>
      <c r="S99" s="413">
        <v>102863</v>
      </c>
      <c r="T99" s="53">
        <v>26030</v>
      </c>
      <c r="U99" s="53">
        <v>23754</v>
      </c>
      <c r="V99" s="53"/>
      <c r="W99" s="413"/>
      <c r="X99" s="413"/>
      <c r="Y99" s="58">
        <v>5914</v>
      </c>
      <c r="Z99" s="379"/>
      <c r="AA99" s="379"/>
      <c r="AB99" s="379"/>
      <c r="AC99" s="34"/>
    </row>
    <row r="100" spans="1:29" ht="14.25">
      <c r="A100" s="317"/>
      <c r="B100" s="390" t="s">
        <v>1452</v>
      </c>
      <c r="C100" s="136" t="s">
        <v>979</v>
      </c>
      <c r="D100" s="365"/>
      <c r="E100" s="315">
        <f>SUM(F100:Q100)</f>
        <v>155238</v>
      </c>
      <c r="F100" s="412">
        <v>470</v>
      </c>
      <c r="G100" s="53"/>
      <c r="H100" s="53">
        <v>141406</v>
      </c>
      <c r="I100" s="53"/>
      <c r="J100" s="53"/>
      <c r="K100" s="53">
        <v>7375</v>
      </c>
      <c r="L100" s="53">
        <v>3355</v>
      </c>
      <c r="M100" s="53"/>
      <c r="N100" s="379">
        <v>2632</v>
      </c>
      <c r="O100" s="379"/>
      <c r="P100" s="379"/>
      <c r="Q100" s="34"/>
      <c r="R100" s="365">
        <f>SUM(S100:AD100)</f>
        <v>154114</v>
      </c>
      <c r="S100" s="413">
        <v>101488</v>
      </c>
      <c r="T100" s="53">
        <v>25567</v>
      </c>
      <c r="U100" s="53">
        <v>19650</v>
      </c>
      <c r="V100" s="53"/>
      <c r="W100" s="413"/>
      <c r="X100" s="413">
        <v>822</v>
      </c>
      <c r="Y100" s="58">
        <v>5866</v>
      </c>
      <c r="Z100" s="379"/>
      <c r="AA100" s="379"/>
      <c r="AB100" s="379">
        <v>721</v>
      </c>
      <c r="AC100" s="34"/>
    </row>
    <row r="101" spans="1:29" ht="15">
      <c r="A101" s="317"/>
      <c r="B101" s="390" t="s">
        <v>1453</v>
      </c>
      <c r="C101" s="136" t="s">
        <v>1414</v>
      </c>
      <c r="D101" s="365"/>
      <c r="E101" s="318">
        <f>ROUND(100*E100/E99,1)</f>
        <v>97.9</v>
      </c>
      <c r="F101" s="414">
        <f>ROUND(100*F100/F99,1)</f>
        <v>82.5</v>
      </c>
      <c r="G101" s="415"/>
      <c r="H101" s="415">
        <f>ROUND(100*H100/H99,1)</f>
        <v>95.6</v>
      </c>
      <c r="I101" s="415"/>
      <c r="J101" s="415"/>
      <c r="K101" s="415">
        <f>ROUND(100*K100/K99,1)</f>
        <v>99.6</v>
      </c>
      <c r="L101" s="415"/>
      <c r="M101" s="415"/>
      <c r="N101" s="443">
        <f>ROUND(100*N100/N99,1)</f>
        <v>100</v>
      </c>
      <c r="O101" s="443"/>
      <c r="P101" s="443"/>
      <c r="Q101" s="34">
        <f>SUM(Q99:Q100)</f>
        <v>0</v>
      </c>
      <c r="R101" s="416">
        <f>ROUND(100*R100/R99,1)</f>
        <v>97.2</v>
      </c>
      <c r="S101" s="417">
        <f>ROUND(100*S100/S99,1)</f>
        <v>98.7</v>
      </c>
      <c r="T101" s="415">
        <f>ROUND(100*T100/T99,1)</f>
        <v>98.2</v>
      </c>
      <c r="U101" s="415">
        <f>ROUND(100*U100/U99,1)</f>
        <v>82.7</v>
      </c>
      <c r="V101" s="415"/>
      <c r="W101" s="417"/>
      <c r="X101" s="417"/>
      <c r="Y101" s="346">
        <f>ROUND(100*Y100/Y99,1)</f>
        <v>99.2</v>
      </c>
      <c r="Z101" s="379">
        <f>SUM(Z99:Z100)</f>
        <v>0</v>
      </c>
      <c r="AA101" s="379">
        <f>SUM(AA99:AA100)</f>
        <v>0</v>
      </c>
      <c r="AB101" s="379"/>
      <c r="AC101" s="34"/>
    </row>
    <row r="102" spans="1:29" ht="14.25">
      <c r="A102" s="317" t="s">
        <v>1454</v>
      </c>
      <c r="B102" s="103"/>
      <c r="C102" s="418"/>
      <c r="D102" s="365"/>
      <c r="E102" s="315"/>
      <c r="F102" s="412"/>
      <c r="G102" s="53"/>
      <c r="H102" s="53"/>
      <c r="I102" s="53"/>
      <c r="J102" s="53"/>
      <c r="K102" s="53"/>
      <c r="L102" s="53"/>
      <c r="M102" s="53"/>
      <c r="N102" s="379"/>
      <c r="O102" s="379"/>
      <c r="P102" s="379"/>
      <c r="Q102" s="34"/>
      <c r="R102" s="365"/>
      <c r="S102" s="413"/>
      <c r="T102" s="53"/>
      <c r="U102" s="53"/>
      <c r="V102" s="53"/>
      <c r="W102" s="413"/>
      <c r="X102" s="413"/>
      <c r="Y102" s="58"/>
      <c r="Z102" s="379"/>
      <c r="AA102" s="379"/>
      <c r="AB102" s="379"/>
      <c r="AC102" s="34"/>
    </row>
    <row r="103" spans="1:29" ht="14.25">
      <c r="A103" s="389"/>
      <c r="B103" s="390" t="s">
        <v>1113</v>
      </c>
      <c r="C103" s="136" t="s">
        <v>1084</v>
      </c>
      <c r="D103" s="444"/>
      <c r="E103" s="315">
        <f>SUM(F103:Q103)</f>
        <v>437300</v>
      </c>
      <c r="F103" s="412">
        <v>100050</v>
      </c>
      <c r="G103" s="53"/>
      <c r="H103" s="53">
        <f>R103-F103</f>
        <v>337250</v>
      </c>
      <c r="I103" s="53"/>
      <c r="J103" s="53"/>
      <c r="K103" s="53"/>
      <c r="L103" s="53"/>
      <c r="M103" s="53"/>
      <c r="N103" s="379"/>
      <c r="O103" s="379"/>
      <c r="P103" s="379"/>
      <c r="Q103" s="34"/>
      <c r="R103" s="365">
        <f>SUM(S103:AD103)</f>
        <v>437300</v>
      </c>
      <c r="S103" s="413">
        <v>203332</v>
      </c>
      <c r="T103" s="53">
        <v>55069</v>
      </c>
      <c r="U103" s="53">
        <v>174452</v>
      </c>
      <c r="V103" s="53"/>
      <c r="W103" s="413"/>
      <c r="X103" s="413"/>
      <c r="Y103" s="58">
        <v>4447</v>
      </c>
      <c r="Z103" s="379"/>
      <c r="AA103" s="379"/>
      <c r="AB103" s="379"/>
      <c r="AC103" s="34"/>
    </row>
    <row r="104" spans="1:29" ht="14.25">
      <c r="A104" s="317"/>
      <c r="B104" s="390" t="s">
        <v>1115</v>
      </c>
      <c r="C104" s="136" t="s">
        <v>978</v>
      </c>
      <c r="D104" s="444"/>
      <c r="E104" s="315">
        <f>SUM(F104:Q104)</f>
        <v>541045</v>
      </c>
      <c r="F104" s="412">
        <v>104804</v>
      </c>
      <c r="G104" s="53"/>
      <c r="H104" s="53">
        <v>375686</v>
      </c>
      <c r="I104" s="53"/>
      <c r="J104" s="53"/>
      <c r="K104" s="53">
        <v>20762</v>
      </c>
      <c r="L104" s="53"/>
      <c r="M104" s="53"/>
      <c r="N104" s="379">
        <v>39793</v>
      </c>
      <c r="O104" s="379"/>
      <c r="P104" s="379"/>
      <c r="Q104" s="34"/>
      <c r="R104" s="365">
        <f>SUM(S104:AD104)</f>
        <v>541045</v>
      </c>
      <c r="S104" s="413">
        <v>232885</v>
      </c>
      <c r="T104" s="53">
        <v>59906</v>
      </c>
      <c r="U104" s="53">
        <v>230562</v>
      </c>
      <c r="V104" s="53"/>
      <c r="W104" s="413"/>
      <c r="X104" s="413"/>
      <c r="Y104" s="58">
        <v>17692</v>
      </c>
      <c r="Z104" s="379"/>
      <c r="AA104" s="379"/>
      <c r="AB104" s="379"/>
      <c r="AC104" s="34"/>
    </row>
    <row r="105" spans="1:29" ht="14.25">
      <c r="A105" s="317"/>
      <c r="B105" s="390" t="s">
        <v>1117</v>
      </c>
      <c r="C105" s="136" t="s">
        <v>979</v>
      </c>
      <c r="D105" s="444"/>
      <c r="E105" s="315">
        <f>SUM(F105:Q105)</f>
        <v>552456</v>
      </c>
      <c r="F105" s="412">
        <v>116899</v>
      </c>
      <c r="G105" s="53"/>
      <c r="H105" s="53">
        <v>338789</v>
      </c>
      <c r="I105" s="53"/>
      <c r="J105" s="53"/>
      <c r="K105" s="53">
        <v>15052</v>
      </c>
      <c r="L105" s="53">
        <v>52629</v>
      </c>
      <c r="M105" s="53"/>
      <c r="N105" s="379">
        <v>39793</v>
      </c>
      <c r="O105" s="379">
        <v>-10706</v>
      </c>
      <c r="P105" s="379"/>
      <c r="Q105" s="34"/>
      <c r="R105" s="365">
        <f>SUM(S105:AD105)</f>
        <v>500546</v>
      </c>
      <c r="S105" s="413">
        <v>224660</v>
      </c>
      <c r="T105" s="53">
        <v>55997</v>
      </c>
      <c r="U105" s="53">
        <v>194019</v>
      </c>
      <c r="V105" s="53"/>
      <c r="W105" s="413"/>
      <c r="X105" s="413">
        <v>951</v>
      </c>
      <c r="Y105" s="58">
        <v>17692</v>
      </c>
      <c r="Z105" s="379"/>
      <c r="AA105" s="379"/>
      <c r="AB105" s="379">
        <v>7227</v>
      </c>
      <c r="AC105" s="34"/>
    </row>
    <row r="106" spans="1:29" ht="15">
      <c r="A106" s="317"/>
      <c r="B106" s="390" t="s">
        <v>1119</v>
      </c>
      <c r="C106" s="136" t="s">
        <v>1414</v>
      </c>
      <c r="D106" s="444"/>
      <c r="E106" s="318">
        <f>ROUND(100*E105/E104,1)</f>
        <v>102.1</v>
      </c>
      <c r="F106" s="414">
        <f>ROUND(100*F105/F104,1)</f>
        <v>111.5</v>
      </c>
      <c r="G106" s="415"/>
      <c r="H106" s="415">
        <f>ROUND(100*H105/H104,1)</f>
        <v>90.2</v>
      </c>
      <c r="I106" s="415"/>
      <c r="J106" s="415"/>
      <c r="K106" s="415">
        <f>ROUND(100*K105/K104,1)</f>
        <v>72.5</v>
      </c>
      <c r="L106" s="415"/>
      <c r="M106" s="415"/>
      <c r="N106" s="443">
        <f>ROUND(100*N105/N104,1)</f>
        <v>100</v>
      </c>
      <c r="O106" s="443"/>
      <c r="P106" s="443"/>
      <c r="Q106" s="34">
        <f>SUM(Q104:Q105)</f>
        <v>0</v>
      </c>
      <c r="R106" s="416">
        <f>ROUND(100*R105/R104,1)</f>
        <v>92.5</v>
      </c>
      <c r="S106" s="417">
        <f>ROUND(100*S105/S104,1)</f>
        <v>96.5</v>
      </c>
      <c r="T106" s="415">
        <f>ROUND(100*T105/T104,1)</f>
        <v>93.5</v>
      </c>
      <c r="U106" s="415">
        <f>ROUND(100*U105/U104,1)</f>
        <v>84.2</v>
      </c>
      <c r="V106" s="415"/>
      <c r="W106" s="417"/>
      <c r="X106" s="417"/>
      <c r="Y106" s="346">
        <f>ROUND(100*Y105/Y104,1)</f>
        <v>100</v>
      </c>
      <c r="Z106" s="379">
        <f>SUM(Z104:Z105)</f>
        <v>0</v>
      </c>
      <c r="AA106" s="379">
        <f>SUM(AA104:AA105)</f>
        <v>0</v>
      </c>
      <c r="AB106" s="379"/>
      <c r="AC106" s="34"/>
    </row>
    <row r="107" spans="1:29" ht="14.25">
      <c r="A107" s="317" t="s">
        <v>1455</v>
      </c>
      <c r="B107" s="445"/>
      <c r="C107" s="58"/>
      <c r="D107" s="365"/>
      <c r="E107" s="315"/>
      <c r="F107" s="412"/>
      <c r="G107" s="53"/>
      <c r="H107" s="53"/>
      <c r="I107" s="53"/>
      <c r="J107" s="53"/>
      <c r="K107" s="53"/>
      <c r="L107" s="53"/>
      <c r="M107" s="53"/>
      <c r="N107" s="379"/>
      <c r="O107" s="379"/>
      <c r="P107" s="379"/>
      <c r="Q107" s="34"/>
      <c r="R107" s="365"/>
      <c r="S107" s="413"/>
      <c r="T107" s="53"/>
      <c r="U107" s="53"/>
      <c r="V107" s="53"/>
      <c r="W107" s="413"/>
      <c r="X107" s="413"/>
      <c r="Y107" s="58"/>
      <c r="Z107" s="379"/>
      <c r="AA107" s="379"/>
      <c r="AB107" s="379"/>
      <c r="AC107" s="34"/>
    </row>
    <row r="108" spans="1:29" ht="14.25">
      <c r="A108" s="389"/>
      <c r="B108" s="223" t="s">
        <v>1456</v>
      </c>
      <c r="C108" s="136" t="s">
        <v>1084</v>
      </c>
      <c r="D108" s="365"/>
      <c r="E108" s="315">
        <f>SUM(F108:Q108)</f>
        <v>91539</v>
      </c>
      <c r="F108" s="412">
        <v>3091</v>
      </c>
      <c r="G108" s="53"/>
      <c r="H108" s="53">
        <f>R108-F108</f>
        <v>88448</v>
      </c>
      <c r="I108" s="53"/>
      <c r="J108" s="53"/>
      <c r="K108" s="53"/>
      <c r="L108" s="53"/>
      <c r="M108" s="53"/>
      <c r="N108" s="379"/>
      <c r="O108" s="379"/>
      <c r="P108" s="379"/>
      <c r="Q108" s="34"/>
      <c r="R108" s="365">
        <f>SUM(S108:AD108)</f>
        <v>91539</v>
      </c>
      <c r="S108" s="413">
        <v>54593</v>
      </c>
      <c r="T108" s="53">
        <v>14466</v>
      </c>
      <c r="U108" s="53">
        <v>22480</v>
      </c>
      <c r="V108" s="53"/>
      <c r="W108" s="413"/>
      <c r="X108" s="413"/>
      <c r="Y108" s="58"/>
      <c r="Z108" s="379"/>
      <c r="AA108" s="379"/>
      <c r="AB108" s="379"/>
      <c r="AC108" s="34"/>
    </row>
    <row r="109" spans="1:29" ht="14.25">
      <c r="A109" s="317"/>
      <c r="B109" s="223" t="s">
        <v>1457</v>
      </c>
      <c r="C109" s="136" t="s">
        <v>978</v>
      </c>
      <c r="D109" s="365"/>
      <c r="E109" s="315">
        <f>SUM(F109:Q109)</f>
        <v>142791</v>
      </c>
      <c r="F109" s="412">
        <v>3896</v>
      </c>
      <c r="G109" s="53"/>
      <c r="H109" s="53">
        <v>125627</v>
      </c>
      <c r="I109" s="53"/>
      <c r="J109" s="53"/>
      <c r="K109" s="53">
        <v>800</v>
      </c>
      <c r="L109" s="53"/>
      <c r="M109" s="53"/>
      <c r="N109" s="379">
        <v>12468</v>
      </c>
      <c r="O109" s="379"/>
      <c r="P109" s="379"/>
      <c r="Q109" s="34"/>
      <c r="R109" s="365">
        <f>SUM(S109:AD109)</f>
        <v>142791</v>
      </c>
      <c r="S109" s="413">
        <v>70036</v>
      </c>
      <c r="T109" s="53">
        <v>18509</v>
      </c>
      <c r="U109" s="53">
        <v>53356</v>
      </c>
      <c r="V109" s="53"/>
      <c r="W109" s="413"/>
      <c r="X109" s="413"/>
      <c r="Y109" s="58">
        <v>890</v>
      </c>
      <c r="Z109" s="379"/>
      <c r="AA109" s="379"/>
      <c r="AB109" s="379"/>
      <c r="AC109" s="34"/>
    </row>
    <row r="110" spans="1:29" ht="14.25">
      <c r="A110" s="317"/>
      <c r="B110" s="223" t="s">
        <v>1458</v>
      </c>
      <c r="C110" s="136" t="s">
        <v>979</v>
      </c>
      <c r="D110" s="365"/>
      <c r="E110" s="315">
        <f>SUM(F110:Q110)</f>
        <v>131934</v>
      </c>
      <c r="F110" s="412">
        <v>4086</v>
      </c>
      <c r="G110" s="53"/>
      <c r="H110" s="53">
        <v>114681</v>
      </c>
      <c r="I110" s="53"/>
      <c r="J110" s="53"/>
      <c r="K110" s="53">
        <v>699</v>
      </c>
      <c r="L110" s="53"/>
      <c r="M110" s="53"/>
      <c r="N110" s="379">
        <v>12468</v>
      </c>
      <c r="O110" s="379"/>
      <c r="P110" s="379"/>
      <c r="Q110" s="34"/>
      <c r="R110" s="365">
        <f>SUM(S110:AD110)</f>
        <v>126864</v>
      </c>
      <c r="S110" s="413">
        <v>59408</v>
      </c>
      <c r="T110" s="53">
        <v>15649</v>
      </c>
      <c r="U110" s="53">
        <v>43095</v>
      </c>
      <c r="V110" s="53"/>
      <c r="W110" s="413"/>
      <c r="X110" s="413">
        <v>5278</v>
      </c>
      <c r="Y110" s="58">
        <v>890</v>
      </c>
      <c r="Z110" s="379"/>
      <c r="AA110" s="379"/>
      <c r="AB110" s="379">
        <v>2544</v>
      </c>
      <c r="AC110" s="34"/>
    </row>
    <row r="111" spans="1:29" ht="15">
      <c r="A111" s="317"/>
      <c r="B111" s="223" t="s">
        <v>1459</v>
      </c>
      <c r="C111" s="136" t="s">
        <v>1414</v>
      </c>
      <c r="D111" s="365"/>
      <c r="E111" s="318">
        <f>ROUND(100*E110/E109,1)</f>
        <v>92.4</v>
      </c>
      <c r="F111" s="414">
        <f>ROUND(100*F110/F109,1)</f>
        <v>104.9</v>
      </c>
      <c r="G111" s="415"/>
      <c r="H111" s="415">
        <f>ROUND(100*H110/H109,1)</f>
        <v>91.3</v>
      </c>
      <c r="I111" s="415"/>
      <c r="J111" s="415"/>
      <c r="K111" s="415">
        <f>ROUND(100*K110/K109,1)</f>
        <v>87.4</v>
      </c>
      <c r="L111" s="415"/>
      <c r="M111" s="415"/>
      <c r="N111" s="443">
        <f>ROUND(100*N110/N109,1)</f>
        <v>100</v>
      </c>
      <c r="O111" s="443"/>
      <c r="P111" s="443"/>
      <c r="Q111" s="34">
        <f>SUM(Q109:Q110)</f>
        <v>0</v>
      </c>
      <c r="R111" s="416">
        <f>ROUND(100*R110/R109,1)</f>
        <v>88.8</v>
      </c>
      <c r="S111" s="417">
        <f>ROUND(100*S110/S109,1)</f>
        <v>84.8</v>
      </c>
      <c r="T111" s="415">
        <f>ROUND(100*T110/T109,1)</f>
        <v>84.5</v>
      </c>
      <c r="U111" s="415">
        <f>ROUND(100*U110/U109,1)</f>
        <v>80.8</v>
      </c>
      <c r="V111" s="415"/>
      <c r="W111" s="417"/>
      <c r="X111" s="417"/>
      <c r="Y111" s="346">
        <f>ROUND(100*Y110/Y109,1)</f>
        <v>100</v>
      </c>
      <c r="Z111" s="379">
        <f>SUM(Z109:Z110)</f>
        <v>0</v>
      </c>
      <c r="AA111" s="379">
        <f>SUM(AA109:AA110)</f>
        <v>0</v>
      </c>
      <c r="AB111" s="379"/>
      <c r="AC111" s="34"/>
    </row>
    <row r="112" spans="1:29" ht="15">
      <c r="A112" s="350" t="s">
        <v>1460</v>
      </c>
      <c r="B112" s="322"/>
      <c r="C112" s="344"/>
      <c r="D112" s="419"/>
      <c r="E112" s="323"/>
      <c r="F112" s="420"/>
      <c r="G112" s="421"/>
      <c r="H112" s="421"/>
      <c r="I112" s="421"/>
      <c r="J112" s="421"/>
      <c r="K112" s="421"/>
      <c r="L112" s="421"/>
      <c r="M112" s="421"/>
      <c r="N112" s="388"/>
      <c r="O112" s="388"/>
      <c r="P112" s="388"/>
      <c r="Q112" s="325"/>
      <c r="R112" s="419"/>
      <c r="S112" s="422"/>
      <c r="T112" s="421"/>
      <c r="U112" s="421"/>
      <c r="V112" s="421"/>
      <c r="W112" s="422"/>
      <c r="X112" s="422"/>
      <c r="Y112" s="344"/>
      <c r="Z112" s="388"/>
      <c r="AA112" s="388"/>
      <c r="AB112" s="388"/>
      <c r="AC112" s="325"/>
    </row>
    <row r="113" spans="1:29" ht="14.25">
      <c r="A113" s="389"/>
      <c r="B113" s="223" t="s">
        <v>1148</v>
      </c>
      <c r="C113" s="136" t="s">
        <v>1084</v>
      </c>
      <c r="D113" s="365"/>
      <c r="E113" s="315">
        <f>SUM(F113:Q113)</f>
        <v>666472</v>
      </c>
      <c r="F113" s="412">
        <f>SUM(F98,F103,F108)</f>
        <v>103711</v>
      </c>
      <c r="G113" s="53"/>
      <c r="H113" s="53">
        <f>SUM(H98,H103,H108)</f>
        <v>562761</v>
      </c>
      <c r="I113" s="53"/>
      <c r="J113" s="53"/>
      <c r="K113" s="53">
        <f>SUM(K98,K103,K108)</f>
        <v>0</v>
      </c>
      <c r="L113" s="53"/>
      <c r="M113" s="53"/>
      <c r="N113" s="379"/>
      <c r="O113" s="379"/>
      <c r="P113" s="379"/>
      <c r="Q113" s="34"/>
      <c r="R113" s="365">
        <f>SUM(S113:AD113)</f>
        <v>666472</v>
      </c>
      <c r="S113" s="413">
        <f aca="true" t="shared" si="9" ref="S113:Y115">SUM(S98,S103,S108)</f>
        <v>350401</v>
      </c>
      <c r="T113" s="53">
        <f t="shared" si="9"/>
        <v>93917</v>
      </c>
      <c r="U113" s="53">
        <f t="shared" si="9"/>
        <v>217707</v>
      </c>
      <c r="V113" s="53">
        <f t="shared" si="9"/>
        <v>0</v>
      </c>
      <c r="W113" s="413"/>
      <c r="X113" s="413"/>
      <c r="Y113" s="58">
        <f t="shared" si="9"/>
        <v>4447</v>
      </c>
      <c r="Z113" s="379"/>
      <c r="AA113" s="379"/>
      <c r="AB113" s="379"/>
      <c r="AC113" s="34"/>
    </row>
    <row r="114" spans="1:29" ht="15">
      <c r="A114" s="328"/>
      <c r="B114" s="223" t="s">
        <v>1150</v>
      </c>
      <c r="C114" s="136" t="s">
        <v>978</v>
      </c>
      <c r="D114" s="365"/>
      <c r="E114" s="315">
        <f>SUM(F114:Q114)</f>
        <v>842397</v>
      </c>
      <c r="F114" s="412">
        <f>SUM(F99,F104,F109)</f>
        <v>109270</v>
      </c>
      <c r="G114" s="53"/>
      <c r="H114" s="53">
        <f>SUM(H99,H104,H109)</f>
        <v>649265</v>
      </c>
      <c r="I114" s="53"/>
      <c r="J114" s="53"/>
      <c r="K114" s="53">
        <f>SUM(K99,K104,K109)</f>
        <v>28969</v>
      </c>
      <c r="L114" s="53"/>
      <c r="M114" s="53"/>
      <c r="N114" s="379">
        <f>SUM(N99,N104,N109)</f>
        <v>54893</v>
      </c>
      <c r="O114" s="379"/>
      <c r="P114" s="379"/>
      <c r="Q114" s="34"/>
      <c r="R114" s="365">
        <f>SUM(S114:AD114)</f>
        <v>842397</v>
      </c>
      <c r="S114" s="413">
        <f t="shared" si="9"/>
        <v>405784</v>
      </c>
      <c r="T114" s="413">
        <f t="shared" si="9"/>
        <v>104445</v>
      </c>
      <c r="U114" s="413">
        <f t="shared" si="9"/>
        <v>307672</v>
      </c>
      <c r="V114" s="413">
        <f t="shared" si="9"/>
        <v>0</v>
      </c>
      <c r="W114" s="413"/>
      <c r="X114" s="413"/>
      <c r="Y114" s="58">
        <f t="shared" si="9"/>
        <v>24496</v>
      </c>
      <c r="Z114" s="379"/>
      <c r="AA114" s="379"/>
      <c r="AB114" s="379"/>
      <c r="AC114" s="34"/>
    </row>
    <row r="115" spans="1:29" ht="15">
      <c r="A115" s="317"/>
      <c r="B115" s="223" t="s">
        <v>1152</v>
      </c>
      <c r="C115" s="136" t="s">
        <v>979</v>
      </c>
      <c r="D115" s="365"/>
      <c r="E115" s="326">
        <f>SUM(F115:Q115)</f>
        <v>839628</v>
      </c>
      <c r="F115" s="412">
        <f>SUM(F100,F105,F110)</f>
        <v>121455</v>
      </c>
      <c r="G115" s="53">
        <f>SUM(G100,G105,G110)</f>
        <v>0</v>
      </c>
      <c r="H115" s="53">
        <f>SUM(H100,H105,H110)</f>
        <v>594876</v>
      </c>
      <c r="I115" s="53"/>
      <c r="J115" s="53"/>
      <c r="K115" s="53">
        <f>SUM(K100,K105,K110)</f>
        <v>23126</v>
      </c>
      <c r="L115" s="53">
        <f>SUM(L100,L105,L110)</f>
        <v>55984</v>
      </c>
      <c r="M115" s="53"/>
      <c r="N115" s="379">
        <f>SUM(N100,N105,N110)</f>
        <v>54893</v>
      </c>
      <c r="O115" s="379">
        <f>SUM(O100,O105,O110)</f>
        <v>-10706</v>
      </c>
      <c r="P115" s="379"/>
      <c r="Q115" s="34"/>
      <c r="R115" s="423">
        <f>SUM(S115:AC115)</f>
        <v>781524</v>
      </c>
      <c r="S115" s="413">
        <f t="shared" si="9"/>
        <v>385556</v>
      </c>
      <c r="T115" s="413">
        <f t="shared" si="9"/>
        <v>97213</v>
      </c>
      <c r="U115" s="413">
        <f t="shared" si="9"/>
        <v>256764</v>
      </c>
      <c r="V115" s="413">
        <f t="shared" si="9"/>
        <v>0</v>
      </c>
      <c r="W115" s="413"/>
      <c r="X115" s="413">
        <f t="shared" si="9"/>
        <v>7051</v>
      </c>
      <c r="Y115" s="413">
        <f>SUM(Y100,Y105,Y110)</f>
        <v>24448</v>
      </c>
      <c r="Z115" s="379"/>
      <c r="AA115" s="379"/>
      <c r="AB115" s="379">
        <f>SUM(AB100,AB105,AB110)</f>
        <v>10492</v>
      </c>
      <c r="AC115" s="34"/>
    </row>
    <row r="116" spans="1:29" ht="15">
      <c r="A116" s="317"/>
      <c r="B116" s="223" t="s">
        <v>1154</v>
      </c>
      <c r="C116" s="136" t="s">
        <v>1414</v>
      </c>
      <c r="D116" s="365"/>
      <c r="E116" s="318">
        <f>ROUND(100*E115/E114,1)</f>
        <v>99.7</v>
      </c>
      <c r="F116" s="446">
        <f>ROUND(100*F115/F114,1)</f>
        <v>111.2</v>
      </c>
      <c r="G116" s="447"/>
      <c r="H116" s="447">
        <f>ROUND(100*H115/H114,1)</f>
        <v>91.6</v>
      </c>
      <c r="I116" s="415"/>
      <c r="J116" s="415"/>
      <c r="K116" s="447">
        <f>ROUND(100*K115/K114,1)</f>
        <v>79.8</v>
      </c>
      <c r="L116" s="447"/>
      <c r="M116" s="415"/>
      <c r="N116" s="448">
        <f>ROUND(100*N115/N114,1)</f>
        <v>100</v>
      </c>
      <c r="O116" s="448"/>
      <c r="P116" s="448"/>
      <c r="Q116" s="327">
        <f>SUM(Q114:Q115)</f>
        <v>0</v>
      </c>
      <c r="R116" s="416">
        <f>ROUND(100*R115/R114,1)</f>
        <v>92.8</v>
      </c>
      <c r="S116" s="449">
        <f>ROUND(100*S115/S114,1)</f>
        <v>95</v>
      </c>
      <c r="T116" s="447">
        <f>ROUND(100*T115/T114,1)</f>
        <v>93.1</v>
      </c>
      <c r="U116" s="447">
        <f>ROUND(100*U115/U114,1)</f>
        <v>83.5</v>
      </c>
      <c r="V116" s="447"/>
      <c r="W116" s="449"/>
      <c r="X116" s="449"/>
      <c r="Y116" s="343">
        <f>ROUND(100*Y115/Y114,1)</f>
        <v>99.8</v>
      </c>
      <c r="Z116" s="379">
        <f>SUM(Z114:Z115)</f>
        <v>0</v>
      </c>
      <c r="AA116" s="441">
        <f>SUM(AA114:AA115)</f>
        <v>0</v>
      </c>
      <c r="AB116" s="441"/>
      <c r="AC116" s="442"/>
    </row>
    <row r="117" spans="1:29" ht="14.25">
      <c r="A117" s="324" t="s">
        <v>1461</v>
      </c>
      <c r="B117" s="344"/>
      <c r="C117" s="344"/>
      <c r="D117" s="419"/>
      <c r="E117" s="323"/>
      <c r="F117" s="420"/>
      <c r="G117" s="421"/>
      <c r="H117" s="421"/>
      <c r="I117" s="421"/>
      <c r="J117" s="421"/>
      <c r="K117" s="421"/>
      <c r="L117" s="421"/>
      <c r="M117" s="421"/>
      <c r="N117" s="388"/>
      <c r="O117" s="388"/>
      <c r="P117" s="388"/>
      <c r="Q117" s="325"/>
      <c r="R117" s="419"/>
      <c r="S117" s="422"/>
      <c r="T117" s="421"/>
      <c r="U117" s="421"/>
      <c r="V117" s="421"/>
      <c r="W117" s="422"/>
      <c r="X117" s="422"/>
      <c r="Y117" s="344"/>
      <c r="Z117" s="388"/>
      <c r="AA117" s="379"/>
      <c r="AB117" s="379"/>
      <c r="AC117" s="34"/>
    </row>
    <row r="118" spans="1:29" ht="14.25">
      <c r="A118" s="389"/>
      <c r="B118" s="390" t="s">
        <v>1462</v>
      </c>
      <c r="C118" s="136" t="s">
        <v>1084</v>
      </c>
      <c r="D118" s="365"/>
      <c r="E118" s="315">
        <f>SUM(F118:Q118)</f>
        <v>1863070</v>
      </c>
      <c r="F118" s="412">
        <v>83119</v>
      </c>
      <c r="G118" s="53">
        <v>577313</v>
      </c>
      <c r="H118" s="53"/>
      <c r="I118" s="53">
        <v>907904</v>
      </c>
      <c r="J118" s="53">
        <v>27526</v>
      </c>
      <c r="K118" s="53">
        <v>93667</v>
      </c>
      <c r="L118" s="53"/>
      <c r="M118" s="53">
        <v>173541</v>
      </c>
      <c r="N118" s="379"/>
      <c r="O118" s="379"/>
      <c r="P118" s="379"/>
      <c r="Q118" s="34"/>
      <c r="R118" s="365">
        <f>SUM(S118:AD118)</f>
        <v>1863070</v>
      </c>
      <c r="S118" s="413">
        <v>211646</v>
      </c>
      <c r="T118" s="53">
        <v>52914</v>
      </c>
      <c r="U118" s="53">
        <v>210000</v>
      </c>
      <c r="V118" s="53">
        <v>1388510</v>
      </c>
      <c r="W118" s="413"/>
      <c r="X118" s="413"/>
      <c r="Y118" s="58"/>
      <c r="Z118" s="379"/>
      <c r="AA118" s="379"/>
      <c r="AB118" s="379"/>
      <c r="AC118" s="34"/>
    </row>
    <row r="119" spans="1:29" ht="14.25">
      <c r="A119" s="317"/>
      <c r="B119" s="390" t="s">
        <v>1463</v>
      </c>
      <c r="C119" s="136" t="s">
        <v>978</v>
      </c>
      <c r="D119" s="365"/>
      <c r="E119" s="315">
        <f>SUM(F119:Q119)</f>
        <v>2436096</v>
      </c>
      <c r="F119" s="412">
        <v>91457</v>
      </c>
      <c r="G119" s="53">
        <v>699235</v>
      </c>
      <c r="H119" s="53"/>
      <c r="I119" s="53">
        <v>1320645</v>
      </c>
      <c r="J119" s="53">
        <v>28404</v>
      </c>
      <c r="K119" s="53">
        <v>192295</v>
      </c>
      <c r="L119" s="53"/>
      <c r="M119" s="53">
        <v>84949</v>
      </c>
      <c r="N119" s="379">
        <v>2317</v>
      </c>
      <c r="O119" s="379"/>
      <c r="P119" s="379"/>
      <c r="Q119" s="34">
        <v>16794</v>
      </c>
      <c r="R119" s="365">
        <f>SUM(S119:AD119)</f>
        <v>2436096</v>
      </c>
      <c r="S119" s="413">
        <v>393136</v>
      </c>
      <c r="T119" s="53">
        <v>79100</v>
      </c>
      <c r="U119" s="53">
        <v>201678</v>
      </c>
      <c r="V119" s="53">
        <v>1670884</v>
      </c>
      <c r="W119" s="413"/>
      <c r="X119" s="413"/>
      <c r="Y119" s="58"/>
      <c r="Z119" s="379">
        <v>2852</v>
      </c>
      <c r="AA119" s="379">
        <v>87106</v>
      </c>
      <c r="AB119" s="379"/>
      <c r="AC119" s="34">
        <v>1340</v>
      </c>
    </row>
    <row r="120" spans="1:29" ht="14.25">
      <c r="A120" s="317"/>
      <c r="B120" s="390" t="s">
        <v>1464</v>
      </c>
      <c r="C120" s="136" t="s">
        <v>979</v>
      </c>
      <c r="D120" s="365"/>
      <c r="E120" s="315">
        <f>SUM(F120:Q120)</f>
        <v>2514772</v>
      </c>
      <c r="F120" s="412">
        <v>97496</v>
      </c>
      <c r="G120" s="53">
        <v>699235</v>
      </c>
      <c r="H120" s="53"/>
      <c r="I120" s="53">
        <v>1321170</v>
      </c>
      <c r="J120" s="53">
        <v>28638</v>
      </c>
      <c r="K120" s="53">
        <v>201418</v>
      </c>
      <c r="L120" s="53">
        <v>24786</v>
      </c>
      <c r="M120" s="53"/>
      <c r="N120" s="379">
        <v>117475</v>
      </c>
      <c r="O120" s="379">
        <v>5943</v>
      </c>
      <c r="P120" s="379">
        <v>232</v>
      </c>
      <c r="Q120" s="34">
        <v>18379</v>
      </c>
      <c r="R120" s="450">
        <f>SUM(S120:AC120)</f>
        <v>2338493</v>
      </c>
      <c r="S120" s="413">
        <v>397394</v>
      </c>
      <c r="T120" s="53">
        <v>81025</v>
      </c>
      <c r="U120" s="53">
        <v>184948</v>
      </c>
      <c r="V120" s="53">
        <v>1587021</v>
      </c>
      <c r="W120" s="451">
        <v>232</v>
      </c>
      <c r="X120" s="413">
        <v>101983</v>
      </c>
      <c r="Y120" s="58"/>
      <c r="Z120" s="379"/>
      <c r="AA120" s="379"/>
      <c r="AB120" s="379">
        <v>-15450</v>
      </c>
      <c r="AC120" s="34">
        <v>1340</v>
      </c>
    </row>
    <row r="121" spans="1:29" ht="15">
      <c r="A121" s="317"/>
      <c r="B121" s="390" t="s">
        <v>1465</v>
      </c>
      <c r="C121" s="136" t="s">
        <v>1414</v>
      </c>
      <c r="D121" s="365"/>
      <c r="E121" s="318">
        <f>ROUND(100*E120/E119,1)</f>
        <v>103.2</v>
      </c>
      <c r="F121" s="414">
        <f>ROUND(100*F120/F119,1)</f>
        <v>106.6</v>
      </c>
      <c r="G121" s="415">
        <f>ROUND(100*G120/G119,1)</f>
        <v>100</v>
      </c>
      <c r="H121" s="53"/>
      <c r="I121" s="415">
        <f>ROUND(100*I120/I119,1)</f>
        <v>100</v>
      </c>
      <c r="J121" s="415">
        <f>ROUND(100*J120/J119,1)</f>
        <v>100.8</v>
      </c>
      <c r="K121" s="415">
        <f>ROUND(100*K120/K119,1)</f>
        <v>104.7</v>
      </c>
      <c r="L121" s="53"/>
      <c r="M121" s="415"/>
      <c r="N121" s="443">
        <f>ROUND(100*N120/N119,1)</f>
        <v>5070.1</v>
      </c>
      <c r="O121" s="443"/>
      <c r="P121" s="443"/>
      <c r="Q121" s="54">
        <f aca="true" t="shared" si="10" ref="Q121:V121">ROUND(100*Q120/Q119,1)</f>
        <v>109.4</v>
      </c>
      <c r="R121" s="416">
        <f t="shared" si="10"/>
        <v>96</v>
      </c>
      <c r="S121" s="417">
        <f t="shared" si="10"/>
        <v>101.1</v>
      </c>
      <c r="T121" s="415">
        <f t="shared" si="10"/>
        <v>102.4</v>
      </c>
      <c r="U121" s="415">
        <f t="shared" si="10"/>
        <v>91.7</v>
      </c>
      <c r="V121" s="415">
        <f t="shared" si="10"/>
        <v>95</v>
      </c>
      <c r="W121" s="417"/>
      <c r="X121" s="417"/>
      <c r="Y121" s="346"/>
      <c r="Z121" s="443"/>
      <c r="AA121" s="443"/>
      <c r="AB121" s="443"/>
      <c r="AC121" s="54">
        <f>ROUND(100*AC120/AC119,1)</f>
        <v>100</v>
      </c>
    </row>
    <row r="122" spans="1:29" ht="14.25">
      <c r="A122" s="317" t="s">
        <v>1466</v>
      </c>
      <c r="B122" s="390"/>
      <c r="C122" s="418"/>
      <c r="D122" s="365"/>
      <c r="E122" s="315"/>
      <c r="F122" s="412"/>
      <c r="G122" s="53"/>
      <c r="H122" s="53"/>
      <c r="I122" s="53"/>
      <c r="J122" s="53"/>
      <c r="K122" s="53"/>
      <c r="L122" s="53"/>
      <c r="M122" s="53"/>
      <c r="N122" s="379"/>
      <c r="O122" s="379"/>
      <c r="P122" s="379"/>
      <c r="Q122" s="34"/>
      <c r="R122" s="365"/>
      <c r="S122" s="413"/>
      <c r="T122" s="53"/>
      <c r="U122" s="53"/>
      <c r="V122" s="53"/>
      <c r="W122" s="413"/>
      <c r="X122" s="413"/>
      <c r="Y122" s="58"/>
      <c r="Z122" s="379"/>
      <c r="AA122" s="379"/>
      <c r="AB122" s="379"/>
      <c r="AC122" s="34"/>
    </row>
    <row r="123" spans="1:29" ht="14.25">
      <c r="A123" s="389"/>
      <c r="B123" s="390" t="s">
        <v>1467</v>
      </c>
      <c r="C123" s="136" t="s">
        <v>1084</v>
      </c>
      <c r="D123" s="365"/>
      <c r="E123" s="315">
        <f>SUM(F123:Q123)</f>
        <v>76655</v>
      </c>
      <c r="F123" s="412">
        <v>26889</v>
      </c>
      <c r="G123" s="53"/>
      <c r="H123" s="53"/>
      <c r="I123" s="53">
        <v>49766</v>
      </c>
      <c r="J123" s="53"/>
      <c r="K123" s="53"/>
      <c r="L123" s="53"/>
      <c r="M123" s="53"/>
      <c r="N123" s="379"/>
      <c r="O123" s="379"/>
      <c r="P123" s="379"/>
      <c r="Q123" s="34"/>
      <c r="R123" s="365">
        <f>SUM(S123:AD123)</f>
        <v>76655</v>
      </c>
      <c r="S123" s="413">
        <v>34105</v>
      </c>
      <c r="T123" s="53">
        <v>8079</v>
      </c>
      <c r="U123" s="53">
        <v>34471</v>
      </c>
      <c r="V123" s="53"/>
      <c r="W123" s="413"/>
      <c r="X123" s="413"/>
      <c r="Y123" s="58"/>
      <c r="Z123" s="379"/>
      <c r="AA123" s="379"/>
      <c r="AB123" s="379"/>
      <c r="AC123" s="34"/>
    </row>
    <row r="124" spans="1:29" ht="14.25">
      <c r="A124" s="317"/>
      <c r="B124" s="390" t="s">
        <v>1468</v>
      </c>
      <c r="C124" s="136" t="s">
        <v>978</v>
      </c>
      <c r="D124" s="365"/>
      <c r="E124" s="315">
        <f>SUM(F124:Q124)</f>
        <v>84520</v>
      </c>
      <c r="F124" s="412">
        <v>28199</v>
      </c>
      <c r="G124" s="53"/>
      <c r="H124" s="53"/>
      <c r="I124" s="53">
        <v>56321</v>
      </c>
      <c r="J124" s="53"/>
      <c r="K124" s="53"/>
      <c r="L124" s="53"/>
      <c r="M124" s="53"/>
      <c r="N124" s="379"/>
      <c r="O124" s="379"/>
      <c r="P124" s="379"/>
      <c r="Q124" s="34"/>
      <c r="R124" s="365">
        <f>SUM(S124:AD124)</f>
        <v>84520</v>
      </c>
      <c r="S124" s="413">
        <v>36157</v>
      </c>
      <c r="T124" s="53">
        <v>8582</v>
      </c>
      <c r="U124" s="53">
        <v>34471</v>
      </c>
      <c r="V124" s="53">
        <v>5310</v>
      </c>
      <c r="W124" s="413"/>
      <c r="X124" s="413"/>
      <c r="Y124" s="58"/>
      <c r="Z124" s="379"/>
      <c r="AA124" s="379"/>
      <c r="AB124" s="379"/>
      <c r="AC124" s="34"/>
    </row>
    <row r="125" spans="1:29" ht="14.25">
      <c r="A125" s="317"/>
      <c r="B125" s="390" t="s">
        <v>1469</v>
      </c>
      <c r="C125" s="136" t="s">
        <v>979</v>
      </c>
      <c r="D125" s="365"/>
      <c r="E125" s="315">
        <f>SUM(F125:Q125)</f>
        <v>85242</v>
      </c>
      <c r="F125" s="412">
        <v>29197</v>
      </c>
      <c r="G125" s="53"/>
      <c r="H125" s="53"/>
      <c r="I125" s="53">
        <v>56045</v>
      </c>
      <c r="J125" s="53"/>
      <c r="K125" s="53"/>
      <c r="L125" s="53"/>
      <c r="M125" s="53"/>
      <c r="N125" s="379"/>
      <c r="O125" s="379"/>
      <c r="P125" s="379"/>
      <c r="Q125" s="34"/>
      <c r="R125" s="365">
        <f>SUM(S125:AD125)</f>
        <v>85219</v>
      </c>
      <c r="S125" s="413">
        <v>34755</v>
      </c>
      <c r="T125" s="53">
        <v>8040</v>
      </c>
      <c r="U125" s="53">
        <v>42424</v>
      </c>
      <c r="V125" s="53"/>
      <c r="W125" s="413"/>
      <c r="X125" s="413"/>
      <c r="Y125" s="58"/>
      <c r="Z125" s="379"/>
      <c r="AA125" s="379"/>
      <c r="AB125" s="379"/>
      <c r="AC125" s="34"/>
    </row>
    <row r="126" spans="1:29" ht="15">
      <c r="A126" s="317"/>
      <c r="B126" s="390" t="s">
        <v>1470</v>
      </c>
      <c r="C126" s="136" t="s">
        <v>1414</v>
      </c>
      <c r="D126" s="365"/>
      <c r="E126" s="318">
        <f>ROUND(100*E125/E124,1)</f>
        <v>100.9</v>
      </c>
      <c r="F126" s="414">
        <f>ROUND(100*F125/F124,1)</f>
        <v>103.5</v>
      </c>
      <c r="G126" s="415"/>
      <c r="H126" s="415"/>
      <c r="I126" s="415">
        <f>ROUND(100*I125/I124,1)</f>
        <v>99.5</v>
      </c>
      <c r="J126" s="53">
        <f>SUM(J124:J125)</f>
        <v>0</v>
      </c>
      <c r="K126" s="53">
        <f>SUM(K124:K125)</f>
        <v>0</v>
      </c>
      <c r="L126" s="53"/>
      <c r="M126" s="53">
        <f>SUM(M124:M125)</f>
        <v>0</v>
      </c>
      <c r="N126" s="379">
        <f>SUM(N124:N125)</f>
        <v>0</v>
      </c>
      <c r="O126" s="379"/>
      <c r="P126" s="379"/>
      <c r="Q126" s="34">
        <f>SUM(Q124:Q125)</f>
        <v>0</v>
      </c>
      <c r="R126" s="416">
        <f>ROUND(100*R125/R124,1)</f>
        <v>100.8</v>
      </c>
      <c r="S126" s="417">
        <f>ROUND(100*S125/S124,1)</f>
        <v>96.1</v>
      </c>
      <c r="T126" s="415">
        <f>ROUND(100*T125/T124,1)</f>
        <v>93.7</v>
      </c>
      <c r="U126" s="415">
        <f>ROUND(100*U125/U124,1)</f>
        <v>123.1</v>
      </c>
      <c r="V126" s="415"/>
      <c r="W126" s="417"/>
      <c r="X126" s="413"/>
      <c r="Y126" s="58">
        <f>SUM(Y124:Y125)</f>
        <v>0</v>
      </c>
      <c r="Z126" s="379">
        <f>SUM(Z124:Z125)</f>
        <v>0</v>
      </c>
      <c r="AA126" s="379">
        <f>SUM(AA124:AA125)</f>
        <v>0</v>
      </c>
      <c r="AB126" s="379"/>
      <c r="AC126" s="34"/>
    </row>
    <row r="127" spans="1:29" ht="14.25">
      <c r="A127" s="317" t="s">
        <v>1471</v>
      </c>
      <c r="B127" s="390"/>
      <c r="C127" s="418"/>
      <c r="D127" s="365"/>
      <c r="E127" s="315"/>
      <c r="F127" s="412"/>
      <c r="G127" s="53"/>
      <c r="H127" s="53"/>
      <c r="I127" s="53"/>
      <c r="J127" s="53"/>
      <c r="K127" s="53"/>
      <c r="L127" s="53"/>
      <c r="M127" s="53"/>
      <c r="N127" s="379"/>
      <c r="O127" s="379"/>
      <c r="P127" s="379"/>
      <c r="Q127" s="34"/>
      <c r="R127" s="365"/>
      <c r="S127" s="413"/>
      <c r="T127" s="53"/>
      <c r="U127" s="53"/>
      <c r="V127" s="53"/>
      <c r="W127" s="413"/>
      <c r="X127" s="413"/>
      <c r="Y127" s="58"/>
      <c r="Z127" s="379"/>
      <c r="AA127" s="379"/>
      <c r="AB127" s="379"/>
      <c r="AC127" s="34"/>
    </row>
    <row r="128" spans="1:29" ht="14.25">
      <c r="A128" s="389"/>
      <c r="B128" s="223" t="s">
        <v>1472</v>
      </c>
      <c r="C128" s="136" t="s">
        <v>1084</v>
      </c>
      <c r="D128" s="365"/>
      <c r="E128" s="315">
        <f>SUM(F128:Q128)</f>
        <v>15927</v>
      </c>
      <c r="F128" s="412"/>
      <c r="G128" s="53"/>
      <c r="H128" s="53"/>
      <c r="I128" s="53">
        <v>15927</v>
      </c>
      <c r="J128" s="53"/>
      <c r="K128" s="53"/>
      <c r="L128" s="53"/>
      <c r="M128" s="53"/>
      <c r="N128" s="379"/>
      <c r="O128" s="379"/>
      <c r="P128" s="379"/>
      <c r="Q128" s="34"/>
      <c r="R128" s="365">
        <f>SUM(S128:AD128)</f>
        <v>15927</v>
      </c>
      <c r="S128" s="413">
        <v>11360</v>
      </c>
      <c r="T128" s="53">
        <v>3067</v>
      </c>
      <c r="U128" s="53">
        <v>1500</v>
      </c>
      <c r="V128" s="53"/>
      <c r="W128" s="413"/>
      <c r="X128" s="413"/>
      <c r="Y128" s="58"/>
      <c r="Z128" s="379"/>
      <c r="AA128" s="379"/>
      <c r="AB128" s="379"/>
      <c r="AC128" s="34"/>
    </row>
    <row r="129" spans="1:29" ht="14.25">
      <c r="A129" s="317"/>
      <c r="B129" s="223" t="s">
        <v>1473</v>
      </c>
      <c r="C129" s="136" t="s">
        <v>978</v>
      </c>
      <c r="D129" s="365"/>
      <c r="E129" s="315">
        <f>SUM(F129:Q129)</f>
        <v>18162</v>
      </c>
      <c r="F129" s="412"/>
      <c r="G129" s="53"/>
      <c r="H129" s="53"/>
      <c r="I129" s="53">
        <v>16176</v>
      </c>
      <c r="J129" s="53"/>
      <c r="K129" s="53"/>
      <c r="L129" s="53"/>
      <c r="M129" s="53"/>
      <c r="N129" s="379">
        <v>1986</v>
      </c>
      <c r="O129" s="379"/>
      <c r="P129" s="379"/>
      <c r="Q129" s="34"/>
      <c r="R129" s="365">
        <f>SUM(S129:AD129)</f>
        <v>18162</v>
      </c>
      <c r="S129" s="413">
        <v>12332</v>
      </c>
      <c r="T129" s="53">
        <v>3330</v>
      </c>
      <c r="U129" s="53">
        <v>2500</v>
      </c>
      <c r="V129" s="53"/>
      <c r="W129" s="413"/>
      <c r="X129" s="413"/>
      <c r="Y129" s="58"/>
      <c r="Z129" s="379"/>
      <c r="AA129" s="379"/>
      <c r="AB129" s="379"/>
      <c r="AC129" s="34"/>
    </row>
    <row r="130" spans="1:29" ht="14.25">
      <c r="A130" s="317"/>
      <c r="B130" s="223" t="s">
        <v>1474</v>
      </c>
      <c r="C130" s="136" t="s">
        <v>979</v>
      </c>
      <c r="D130" s="365"/>
      <c r="E130" s="315">
        <f>SUM(F130:Q130)</f>
        <v>17913</v>
      </c>
      <c r="F130" s="412"/>
      <c r="G130" s="53"/>
      <c r="H130" s="53"/>
      <c r="I130" s="53">
        <v>15927</v>
      </c>
      <c r="J130" s="53"/>
      <c r="K130" s="53"/>
      <c r="L130" s="53"/>
      <c r="M130" s="53"/>
      <c r="N130" s="379">
        <v>1986</v>
      </c>
      <c r="O130" s="379"/>
      <c r="P130" s="379"/>
      <c r="Q130" s="34"/>
      <c r="R130" s="365">
        <f>SUM(S130:AD130)</f>
        <v>15694</v>
      </c>
      <c r="S130" s="413">
        <v>10092</v>
      </c>
      <c r="T130" s="53">
        <v>2611</v>
      </c>
      <c r="U130" s="53">
        <v>2951</v>
      </c>
      <c r="V130" s="53">
        <v>40</v>
      </c>
      <c r="W130" s="413"/>
      <c r="X130" s="413"/>
      <c r="Y130" s="58"/>
      <c r="Z130" s="379"/>
      <c r="AA130" s="379"/>
      <c r="AB130" s="379"/>
      <c r="AC130" s="34"/>
    </row>
    <row r="131" spans="1:29" ht="15">
      <c r="A131" s="317"/>
      <c r="B131" s="223" t="s">
        <v>1475</v>
      </c>
      <c r="C131" s="136" t="s">
        <v>1414</v>
      </c>
      <c r="D131" s="365"/>
      <c r="E131" s="318">
        <f>ROUND(100*E130/E129,1)</f>
        <v>98.6</v>
      </c>
      <c r="F131" s="412">
        <f>SUM(F129:F130)</f>
        <v>0</v>
      </c>
      <c r="G131" s="53">
        <f>SUM(G129:G130)</f>
        <v>0</v>
      </c>
      <c r="H131" s="53">
        <f>SUM(H129:H130)</f>
        <v>0</v>
      </c>
      <c r="I131" s="415">
        <f>ROUND(100*I130/I129,1)</f>
        <v>98.5</v>
      </c>
      <c r="J131" s="53">
        <f>SUM(J129:J130)</f>
        <v>0</v>
      </c>
      <c r="K131" s="53">
        <f>SUM(K129:K130)</f>
        <v>0</v>
      </c>
      <c r="L131" s="53"/>
      <c r="M131" s="53">
        <f>SUM(M129:M130)</f>
        <v>0</v>
      </c>
      <c r="N131" s="443">
        <f>ROUND(100*N130/N129,1)</f>
        <v>100</v>
      </c>
      <c r="O131" s="443"/>
      <c r="P131" s="443"/>
      <c r="Q131" s="34">
        <f>SUM(Q129:Q130)</f>
        <v>0</v>
      </c>
      <c r="R131" s="416">
        <f>ROUND(100*R130/R129,1)</f>
        <v>86.4</v>
      </c>
      <c r="S131" s="417">
        <f>ROUND(100*S130/S129,1)</f>
        <v>81.8</v>
      </c>
      <c r="T131" s="415">
        <f>ROUND(100*T130/T129,1)</f>
        <v>78.4</v>
      </c>
      <c r="U131" s="415">
        <f>ROUND(100*U130/U129,1)</f>
        <v>118</v>
      </c>
      <c r="V131" s="53"/>
      <c r="W131" s="413"/>
      <c r="X131" s="413"/>
      <c r="Y131" s="58">
        <f>SUM(Y129:Y130)</f>
        <v>0</v>
      </c>
      <c r="Z131" s="379">
        <f>SUM(Z129:Z130)</f>
        <v>0</v>
      </c>
      <c r="AA131" s="379">
        <f>SUM(AA129:AA130)</f>
        <v>0</v>
      </c>
      <c r="AB131" s="379"/>
      <c r="AC131" s="34"/>
    </row>
    <row r="132" spans="1:29" ht="15">
      <c r="A132" s="350" t="s">
        <v>1476</v>
      </c>
      <c r="B132" s="403"/>
      <c r="C132" s="344"/>
      <c r="D132" s="419"/>
      <c r="E132" s="323"/>
      <c r="F132" s="420"/>
      <c r="G132" s="421"/>
      <c r="H132" s="421"/>
      <c r="I132" s="421"/>
      <c r="J132" s="421"/>
      <c r="K132" s="421"/>
      <c r="L132" s="421"/>
      <c r="M132" s="421"/>
      <c r="N132" s="388"/>
      <c r="O132" s="388"/>
      <c r="P132" s="388"/>
      <c r="Q132" s="325"/>
      <c r="R132" s="419"/>
      <c r="S132" s="422"/>
      <c r="T132" s="421"/>
      <c r="U132" s="421"/>
      <c r="V132" s="421"/>
      <c r="W132" s="422"/>
      <c r="X132" s="422"/>
      <c r="Y132" s="344"/>
      <c r="Z132" s="388"/>
      <c r="AA132" s="388"/>
      <c r="AB132" s="388"/>
      <c r="AC132" s="325"/>
    </row>
    <row r="133" spans="1:29" ht="14.25">
      <c r="A133" s="389"/>
      <c r="B133" s="223" t="s">
        <v>1237</v>
      </c>
      <c r="C133" s="136" t="s">
        <v>1084</v>
      </c>
      <c r="D133" s="365"/>
      <c r="E133" s="315">
        <f>SUM(F133:Q133)</f>
        <v>1955652</v>
      </c>
      <c r="F133" s="412">
        <f>SUM(F118,F123,F128)</f>
        <v>110008</v>
      </c>
      <c r="G133" s="53">
        <f aca="true" t="shared" si="11" ref="G133:N133">SUM(G118,G123,G128)</f>
        <v>577313</v>
      </c>
      <c r="H133" s="53">
        <f t="shared" si="11"/>
        <v>0</v>
      </c>
      <c r="I133" s="53">
        <f t="shared" si="11"/>
        <v>973597</v>
      </c>
      <c r="J133" s="53">
        <f t="shared" si="11"/>
        <v>27526</v>
      </c>
      <c r="K133" s="53">
        <f t="shared" si="11"/>
        <v>93667</v>
      </c>
      <c r="L133" s="53">
        <f>SUM(L118,L123,L128)</f>
        <v>0</v>
      </c>
      <c r="M133" s="53">
        <f t="shared" si="11"/>
        <v>173541</v>
      </c>
      <c r="N133" s="379">
        <f t="shared" si="11"/>
        <v>0</v>
      </c>
      <c r="O133" s="379"/>
      <c r="P133" s="379"/>
      <c r="Q133" s="34"/>
      <c r="R133" s="365">
        <f>SUM(S133:AA133)</f>
        <v>1955652</v>
      </c>
      <c r="S133" s="413">
        <f>SUM(S118,S123,S128)</f>
        <v>257111</v>
      </c>
      <c r="T133" s="53">
        <f aca="true" t="shared" si="12" ref="S133:V134">SUM(T118,T123,T128)</f>
        <v>64060</v>
      </c>
      <c r="U133" s="53">
        <f t="shared" si="12"/>
        <v>245971</v>
      </c>
      <c r="V133" s="53">
        <f t="shared" si="12"/>
        <v>1388510</v>
      </c>
      <c r="W133" s="413"/>
      <c r="X133" s="413"/>
      <c r="Y133" s="58"/>
      <c r="Z133" s="379"/>
      <c r="AA133" s="379"/>
      <c r="AB133" s="379"/>
      <c r="AC133" s="34"/>
    </row>
    <row r="134" spans="1:29" ht="15">
      <c r="A134" s="328"/>
      <c r="B134" s="223" t="s">
        <v>1239</v>
      </c>
      <c r="C134" s="136" t="s">
        <v>978</v>
      </c>
      <c r="D134" s="365"/>
      <c r="E134" s="315">
        <f>SUM(F134:Q134)</f>
        <v>2538778</v>
      </c>
      <c r="F134" s="412">
        <f aca="true" t="shared" si="13" ref="F134:Q134">SUM(F119,F124,F129)</f>
        <v>119656</v>
      </c>
      <c r="G134" s="53">
        <f t="shared" si="13"/>
        <v>699235</v>
      </c>
      <c r="H134" s="53">
        <f t="shared" si="13"/>
        <v>0</v>
      </c>
      <c r="I134" s="53">
        <f t="shared" si="13"/>
        <v>1393142</v>
      </c>
      <c r="J134" s="53">
        <f t="shared" si="13"/>
        <v>28404</v>
      </c>
      <c r="K134" s="53">
        <f t="shared" si="13"/>
        <v>192295</v>
      </c>
      <c r="L134" s="53">
        <f>SUM(L119,L124,L129)</f>
        <v>0</v>
      </c>
      <c r="M134" s="53">
        <f t="shared" si="13"/>
        <v>84949</v>
      </c>
      <c r="N134" s="379">
        <f t="shared" si="13"/>
        <v>4303</v>
      </c>
      <c r="O134" s="379"/>
      <c r="P134" s="379"/>
      <c r="Q134" s="34">
        <f t="shared" si="13"/>
        <v>16794</v>
      </c>
      <c r="R134" s="365">
        <f>SUM(S134:AC134)</f>
        <v>2538778</v>
      </c>
      <c r="S134" s="413">
        <f t="shared" si="12"/>
        <v>441625</v>
      </c>
      <c r="T134" s="53">
        <f t="shared" si="12"/>
        <v>91012</v>
      </c>
      <c r="U134" s="53">
        <f t="shared" si="12"/>
        <v>238649</v>
      </c>
      <c r="V134" s="53">
        <f t="shared" si="12"/>
        <v>1676194</v>
      </c>
      <c r="W134" s="413"/>
      <c r="X134" s="413"/>
      <c r="Y134" s="58">
        <f aca="true" t="shared" si="14" ref="Y134:AA135">SUM(Y119,Y124,Y129)</f>
        <v>0</v>
      </c>
      <c r="Z134" s="379">
        <f t="shared" si="14"/>
        <v>2852</v>
      </c>
      <c r="AA134" s="379">
        <f t="shared" si="14"/>
        <v>87106</v>
      </c>
      <c r="AB134" s="379"/>
      <c r="AC134" s="34">
        <f>SUM(AC119,AC124,AC129)</f>
        <v>1340</v>
      </c>
    </row>
    <row r="135" spans="1:29" ht="15">
      <c r="A135" s="328"/>
      <c r="B135" s="223" t="s">
        <v>1242</v>
      </c>
      <c r="C135" s="136" t="s">
        <v>979</v>
      </c>
      <c r="D135" s="365"/>
      <c r="E135" s="326">
        <f>SUM(F135:Q135)</f>
        <v>2617927</v>
      </c>
      <c r="F135" s="412">
        <f aca="true" t="shared" si="15" ref="F135:K135">SUM(F120,F125,F130)</f>
        <v>126693</v>
      </c>
      <c r="G135" s="53">
        <f t="shared" si="15"/>
        <v>699235</v>
      </c>
      <c r="H135" s="53">
        <f t="shared" si="15"/>
        <v>0</v>
      </c>
      <c r="I135" s="53">
        <f t="shared" si="15"/>
        <v>1393142</v>
      </c>
      <c r="J135" s="53">
        <f t="shared" si="15"/>
        <v>28638</v>
      </c>
      <c r="K135" s="53">
        <f t="shared" si="15"/>
        <v>201418</v>
      </c>
      <c r="L135" s="53">
        <f>SUM(L120,L125,L130)</f>
        <v>24786</v>
      </c>
      <c r="M135" s="53">
        <f>SUM(M120,M125,M130)</f>
        <v>0</v>
      </c>
      <c r="N135" s="379">
        <f>SUM(N120,N125,N130)</f>
        <v>119461</v>
      </c>
      <c r="O135" s="379">
        <f>SUM(O120,O125,O130)</f>
        <v>5943</v>
      </c>
      <c r="P135" s="379">
        <f>SUM(P120,P125,P130)</f>
        <v>232</v>
      </c>
      <c r="Q135" s="34">
        <f>SUM(Q120,Q125,Q130)</f>
        <v>18379</v>
      </c>
      <c r="R135" s="423">
        <f>SUM(S135:AC135)</f>
        <v>2439406</v>
      </c>
      <c r="S135" s="413">
        <f aca="true" t="shared" si="16" ref="S135:X135">SUM(S120,S125,S130)</f>
        <v>442241</v>
      </c>
      <c r="T135" s="53">
        <f t="shared" si="16"/>
        <v>91676</v>
      </c>
      <c r="U135" s="53">
        <f t="shared" si="16"/>
        <v>230323</v>
      </c>
      <c r="V135" s="53">
        <f t="shared" si="16"/>
        <v>1587061</v>
      </c>
      <c r="W135" s="413">
        <f t="shared" si="16"/>
        <v>232</v>
      </c>
      <c r="X135" s="413">
        <f t="shared" si="16"/>
        <v>101983</v>
      </c>
      <c r="Y135" s="58">
        <f t="shared" si="14"/>
        <v>0</v>
      </c>
      <c r="Z135" s="379">
        <f t="shared" si="14"/>
        <v>0</v>
      </c>
      <c r="AA135" s="379">
        <f t="shared" si="14"/>
        <v>0</v>
      </c>
      <c r="AB135" s="379">
        <f>SUM(AB120,AB125,AB130)</f>
        <v>-15450</v>
      </c>
      <c r="AC135" s="34">
        <f>SUM(AC120,AC125,AC130)</f>
        <v>1340</v>
      </c>
    </row>
    <row r="136" spans="1:29" ht="15">
      <c r="A136" s="317"/>
      <c r="B136" s="223" t="s">
        <v>1244</v>
      </c>
      <c r="C136" s="136" t="s">
        <v>1414</v>
      </c>
      <c r="D136" s="365"/>
      <c r="E136" s="318">
        <f aca="true" t="shared" si="17" ref="E136:Q136">ROUND(100*E135/E134,1)</f>
        <v>103.1</v>
      </c>
      <c r="F136" s="446">
        <f t="shared" si="17"/>
        <v>105.9</v>
      </c>
      <c r="G136" s="447">
        <f t="shared" si="17"/>
        <v>100</v>
      </c>
      <c r="H136" s="447"/>
      <c r="I136" s="447">
        <f t="shared" si="17"/>
        <v>100</v>
      </c>
      <c r="J136" s="447">
        <f t="shared" si="17"/>
        <v>100.8</v>
      </c>
      <c r="K136" s="447">
        <f t="shared" si="17"/>
        <v>104.7</v>
      </c>
      <c r="L136" s="447"/>
      <c r="M136" s="447"/>
      <c r="N136" s="448">
        <f t="shared" si="17"/>
        <v>2776.2</v>
      </c>
      <c r="O136" s="448"/>
      <c r="P136" s="448"/>
      <c r="Q136" s="330">
        <f t="shared" si="17"/>
        <v>109.4</v>
      </c>
      <c r="R136" s="416">
        <f aca="true" t="shared" si="18" ref="R136:AC136">ROUND(100*R135/R134,1)</f>
        <v>96.1</v>
      </c>
      <c r="S136" s="452">
        <f t="shared" si="18"/>
        <v>100.1</v>
      </c>
      <c r="T136" s="453">
        <f t="shared" si="18"/>
        <v>100.7</v>
      </c>
      <c r="U136" s="453">
        <f t="shared" si="18"/>
        <v>96.5</v>
      </c>
      <c r="V136" s="453">
        <f t="shared" si="18"/>
        <v>94.7</v>
      </c>
      <c r="W136" s="454"/>
      <c r="X136" s="454"/>
      <c r="Y136" s="454"/>
      <c r="Z136" s="343"/>
      <c r="AA136" s="455"/>
      <c r="AB136" s="455"/>
      <c r="AC136" s="456">
        <f t="shared" si="18"/>
        <v>100</v>
      </c>
    </row>
    <row r="137" spans="1:29" ht="15.75">
      <c r="A137" s="457" t="s">
        <v>1477</v>
      </c>
      <c r="B137" s="344"/>
      <c r="C137" s="344"/>
      <c r="D137" s="344"/>
      <c r="E137" s="347"/>
      <c r="F137" s="422"/>
      <c r="G137" s="421"/>
      <c r="H137" s="421"/>
      <c r="I137" s="421"/>
      <c r="J137" s="421"/>
      <c r="K137" s="421"/>
      <c r="L137" s="421"/>
      <c r="M137" s="421"/>
      <c r="N137" s="388"/>
      <c r="O137" s="388"/>
      <c r="P137" s="388"/>
      <c r="Q137" s="325"/>
      <c r="R137" s="458"/>
      <c r="S137" s="422"/>
      <c r="T137" s="421"/>
      <c r="U137" s="421"/>
      <c r="V137" s="421"/>
      <c r="W137" s="422"/>
      <c r="X137" s="422"/>
      <c r="Y137" s="344"/>
      <c r="Z137" s="388"/>
      <c r="AA137" s="379"/>
      <c r="AB137" s="379"/>
      <c r="AC137" s="34"/>
    </row>
    <row r="138" spans="1:29" ht="15">
      <c r="A138" s="389"/>
      <c r="B138" s="223" t="s">
        <v>1258</v>
      </c>
      <c r="C138" s="136" t="s">
        <v>1084</v>
      </c>
      <c r="D138" s="58"/>
      <c r="E138" s="326">
        <f>SUM(F138:Q138)</f>
        <v>3433143</v>
      </c>
      <c r="F138" s="413">
        <f aca="true" t="shared" si="19" ref="F138:Q138">SUM(F133,F113,F62,F47)</f>
        <v>268955</v>
      </c>
      <c r="G138" s="53">
        <f t="shared" si="19"/>
        <v>577313</v>
      </c>
      <c r="H138" s="53">
        <f t="shared" si="19"/>
        <v>1305150</v>
      </c>
      <c r="I138" s="53">
        <f t="shared" si="19"/>
        <v>973597</v>
      </c>
      <c r="J138" s="53">
        <f t="shared" si="19"/>
        <v>27526</v>
      </c>
      <c r="K138" s="53">
        <f t="shared" si="19"/>
        <v>107061</v>
      </c>
      <c r="L138" s="53">
        <f t="shared" si="19"/>
        <v>0</v>
      </c>
      <c r="M138" s="53">
        <f t="shared" si="19"/>
        <v>173541</v>
      </c>
      <c r="N138" s="379">
        <f t="shared" si="19"/>
        <v>0</v>
      </c>
      <c r="O138" s="379"/>
      <c r="P138" s="379"/>
      <c r="Q138" s="34">
        <f t="shared" si="19"/>
        <v>0</v>
      </c>
      <c r="R138" s="423">
        <f>SUM(S138:AC138)</f>
        <v>3433143</v>
      </c>
      <c r="S138" s="413">
        <f aca="true" t="shared" si="20" ref="S138:V140">SUM(S133,S113,S62,S47)</f>
        <v>1109382</v>
      </c>
      <c r="T138" s="53">
        <f t="shared" si="20"/>
        <v>289215</v>
      </c>
      <c r="U138" s="53">
        <f t="shared" si="20"/>
        <v>641589</v>
      </c>
      <c r="V138" s="53">
        <f t="shared" si="20"/>
        <v>1388510</v>
      </c>
      <c r="W138" s="413"/>
      <c r="X138" s="413"/>
      <c r="Y138" s="58">
        <f aca="true" t="shared" si="21" ref="Y138:AA140">SUM(Y133,Y113,Y62,Y47)</f>
        <v>4447</v>
      </c>
      <c r="Z138" s="379">
        <f t="shared" si="21"/>
        <v>0</v>
      </c>
      <c r="AA138" s="379">
        <f t="shared" si="21"/>
        <v>0</v>
      </c>
      <c r="AB138" s="379"/>
      <c r="AC138" s="34"/>
    </row>
    <row r="139" spans="1:29" ht="15.75">
      <c r="A139" s="459"/>
      <c r="B139" s="223" t="s">
        <v>1260</v>
      </c>
      <c r="C139" s="136" t="s">
        <v>978</v>
      </c>
      <c r="D139" s="58"/>
      <c r="E139" s="326">
        <f>SUM(F139:Q139)</f>
        <v>4277200</v>
      </c>
      <c r="F139" s="413">
        <f aca="true" t="shared" si="22" ref="F139:Q139">SUM(F134,F114,F63,F48)</f>
        <v>290777</v>
      </c>
      <c r="G139" s="53">
        <f t="shared" si="22"/>
        <v>699235</v>
      </c>
      <c r="H139" s="53">
        <f t="shared" si="22"/>
        <v>1440558</v>
      </c>
      <c r="I139" s="53">
        <f t="shared" si="22"/>
        <v>1393142</v>
      </c>
      <c r="J139" s="53">
        <f t="shared" si="22"/>
        <v>28404</v>
      </c>
      <c r="K139" s="53">
        <f t="shared" si="22"/>
        <v>237761</v>
      </c>
      <c r="L139" s="53">
        <f t="shared" si="22"/>
        <v>0</v>
      </c>
      <c r="M139" s="53">
        <f t="shared" si="22"/>
        <v>84949</v>
      </c>
      <c r="N139" s="379">
        <f t="shared" si="22"/>
        <v>85580</v>
      </c>
      <c r="O139" s="379"/>
      <c r="P139" s="379"/>
      <c r="Q139" s="34">
        <f t="shared" si="22"/>
        <v>16794</v>
      </c>
      <c r="R139" s="335">
        <f>SUM(S139:AC139)</f>
        <v>4277200</v>
      </c>
      <c r="S139" s="412">
        <f t="shared" si="20"/>
        <v>1372205</v>
      </c>
      <c r="T139" s="53">
        <f t="shared" si="20"/>
        <v>332786</v>
      </c>
      <c r="U139" s="53">
        <f t="shared" si="20"/>
        <v>772643</v>
      </c>
      <c r="V139" s="53">
        <f t="shared" si="20"/>
        <v>1676194</v>
      </c>
      <c r="W139" s="53"/>
      <c r="X139" s="53"/>
      <c r="Y139" s="413">
        <f t="shared" si="21"/>
        <v>32074</v>
      </c>
      <c r="Z139" s="53">
        <f t="shared" si="21"/>
        <v>2852</v>
      </c>
      <c r="AA139" s="379">
        <f t="shared" si="21"/>
        <v>87106</v>
      </c>
      <c r="AB139" s="379"/>
      <c r="AC139" s="34">
        <f>SUM(AC134,AC114,AC63,AC48)</f>
        <v>1340</v>
      </c>
    </row>
    <row r="140" spans="1:29" ht="15.75">
      <c r="A140" s="317"/>
      <c r="B140" s="223" t="s">
        <v>1262</v>
      </c>
      <c r="C140" s="136" t="s">
        <v>979</v>
      </c>
      <c r="D140" s="58"/>
      <c r="E140" s="460">
        <f>SUM(F140:Q140)</f>
        <v>4337206</v>
      </c>
      <c r="F140" s="461">
        <f>SUM(F135,F115,F64,F49)</f>
        <v>310654</v>
      </c>
      <c r="G140" s="242">
        <f>SUM(G135,G115,G64,G49)</f>
        <v>699235</v>
      </c>
      <c r="H140" s="242">
        <f>SUM(H135,H115,H64,H49)</f>
        <v>1356512</v>
      </c>
      <c r="I140" s="242">
        <f aca="true" t="shared" si="23" ref="I140:Q140">SUM(I135,I115,I64,I49)</f>
        <v>1393142</v>
      </c>
      <c r="J140" s="242">
        <f t="shared" si="23"/>
        <v>28638</v>
      </c>
      <c r="K140" s="242">
        <f t="shared" si="23"/>
        <v>239521</v>
      </c>
      <c r="L140" s="242">
        <f>SUM(L135,L115,L64,L49)</f>
        <v>126769</v>
      </c>
      <c r="M140" s="242">
        <f t="shared" si="23"/>
        <v>0</v>
      </c>
      <c r="N140" s="462">
        <f>SUM(N135,N115,N64,N49)</f>
        <v>174354</v>
      </c>
      <c r="O140" s="462">
        <f>SUM(O135,O115,O64,O49)</f>
        <v>-10230</v>
      </c>
      <c r="P140" s="462">
        <f>SUM(P135,P115,P64,P49)</f>
        <v>232</v>
      </c>
      <c r="Q140" s="463">
        <f t="shared" si="23"/>
        <v>18379</v>
      </c>
      <c r="R140" s="464">
        <f>SUM(S140:AC140)</f>
        <v>4096077</v>
      </c>
      <c r="S140" s="461">
        <f t="shared" si="20"/>
        <v>1347014</v>
      </c>
      <c r="T140" s="242">
        <f t="shared" si="20"/>
        <v>326047</v>
      </c>
      <c r="U140" s="242">
        <f t="shared" si="20"/>
        <v>682748</v>
      </c>
      <c r="V140" s="242">
        <f t="shared" si="20"/>
        <v>1587061</v>
      </c>
      <c r="W140" s="462">
        <f>SUM(W135,W115,W64,W49)</f>
        <v>232</v>
      </c>
      <c r="X140" s="242">
        <f>SUM(X135,X115,X64,X49)</f>
        <v>125678</v>
      </c>
      <c r="Y140" s="465">
        <f t="shared" si="21"/>
        <v>32029</v>
      </c>
      <c r="Z140" s="462">
        <f t="shared" si="21"/>
        <v>0</v>
      </c>
      <c r="AA140" s="462">
        <f t="shared" si="21"/>
        <v>0</v>
      </c>
      <c r="AB140" s="462">
        <f>SUM(AB135,AB115,AB64,AB49)</f>
        <v>-6072</v>
      </c>
      <c r="AC140" s="463">
        <f>SUM(AC135,AC115,AC64,AC49)</f>
        <v>1340</v>
      </c>
    </row>
    <row r="141" spans="1:29" ht="15.75">
      <c r="A141" s="317"/>
      <c r="B141" s="390" t="s">
        <v>1264</v>
      </c>
      <c r="C141" s="136" t="s">
        <v>1414</v>
      </c>
      <c r="D141" s="418"/>
      <c r="E141" s="466">
        <f aca="true" t="shared" si="24" ref="E141:K141">ROUND(100*E140/E139,1)</f>
        <v>101.4</v>
      </c>
      <c r="F141" s="467">
        <f t="shared" si="24"/>
        <v>106.8</v>
      </c>
      <c r="G141" s="468">
        <f t="shared" si="24"/>
        <v>100</v>
      </c>
      <c r="H141" s="468">
        <f t="shared" si="24"/>
        <v>94.2</v>
      </c>
      <c r="I141" s="468">
        <f t="shared" si="24"/>
        <v>100</v>
      </c>
      <c r="J141" s="468">
        <f t="shared" si="24"/>
        <v>100.8</v>
      </c>
      <c r="K141" s="468">
        <f t="shared" si="24"/>
        <v>100.7</v>
      </c>
      <c r="L141" s="468"/>
      <c r="M141" s="468"/>
      <c r="N141" s="469">
        <f>ROUND(100*N140/N139,1)</f>
        <v>203.7</v>
      </c>
      <c r="O141" s="469"/>
      <c r="P141" s="469"/>
      <c r="Q141" s="470">
        <f aca="true" t="shared" si="25" ref="Q141:V141">ROUND(100*Q140/Q139,1)</f>
        <v>109.4</v>
      </c>
      <c r="R141" s="471">
        <f t="shared" si="25"/>
        <v>95.8</v>
      </c>
      <c r="S141" s="467">
        <f t="shared" si="25"/>
        <v>98.2</v>
      </c>
      <c r="T141" s="468">
        <f t="shared" si="25"/>
        <v>98</v>
      </c>
      <c r="U141" s="468">
        <f t="shared" si="25"/>
        <v>88.4</v>
      </c>
      <c r="V141" s="468">
        <f t="shared" si="25"/>
        <v>94.7</v>
      </c>
      <c r="W141" s="469"/>
      <c r="X141" s="468"/>
      <c r="Y141" s="472">
        <f>ROUND(100*Y140/Y139,1)</f>
        <v>99.9</v>
      </c>
      <c r="Z141" s="469"/>
      <c r="AA141" s="469"/>
      <c r="AB141" s="469"/>
      <c r="AC141" s="470">
        <f>ROUND(100*AC140/AC139,1)</f>
        <v>100</v>
      </c>
    </row>
    <row r="142" spans="1:29" ht="14.25">
      <c r="A142" s="424"/>
      <c r="B142" s="366"/>
      <c r="C142" s="366"/>
      <c r="D142" s="366"/>
      <c r="E142" s="473"/>
      <c r="F142" s="474"/>
      <c r="G142" s="254"/>
      <c r="H142" s="254"/>
      <c r="I142" s="254"/>
      <c r="J142" s="254"/>
      <c r="K142" s="254"/>
      <c r="L142" s="254"/>
      <c r="M142" s="254"/>
      <c r="N142" s="433"/>
      <c r="O142" s="433"/>
      <c r="P142" s="433"/>
      <c r="Q142" s="37"/>
      <c r="R142" s="366"/>
      <c r="S142" s="474"/>
      <c r="T142" s="254"/>
      <c r="U142" s="254"/>
      <c r="V142" s="254"/>
      <c r="W142" s="433"/>
      <c r="X142" s="254"/>
      <c r="Y142" s="475"/>
      <c r="Z142" s="433"/>
      <c r="AA142" s="433"/>
      <c r="AB142" s="433"/>
      <c r="AC142" s="37"/>
    </row>
    <row r="143" spans="1:29" ht="14.25">
      <c r="A143" s="418"/>
      <c r="B143" s="418"/>
      <c r="C143" s="418"/>
      <c r="D143" s="418"/>
      <c r="E143" s="418"/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  <c r="Z143" s="418"/>
      <c r="AA143" s="418"/>
      <c r="AB143" s="418"/>
      <c r="AC143" s="418"/>
    </row>
    <row r="144" spans="1:29" ht="14.25">
      <c r="A144" s="418"/>
      <c r="B144" s="418"/>
      <c r="C144" s="418"/>
      <c r="D144" s="418"/>
      <c r="E144" s="418"/>
      <c r="F144" s="418"/>
      <c r="G144" s="418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  <c r="T144" s="418"/>
      <c r="U144" s="418"/>
      <c r="V144" s="418"/>
      <c r="W144" s="418"/>
      <c r="X144" s="418"/>
      <c r="Y144" s="418"/>
      <c r="Z144" s="418"/>
      <c r="AA144" s="418"/>
      <c r="AB144" s="418"/>
      <c r="AC144" s="418"/>
    </row>
    <row r="145" spans="1:29" ht="14.25">
      <c r="A145" s="418"/>
      <c r="B145" s="418"/>
      <c r="C145" s="418"/>
      <c r="D145" s="418"/>
      <c r="E145" s="418"/>
      <c r="F145" s="418"/>
      <c r="G145" s="418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  <c r="T145" s="418"/>
      <c r="U145" s="418"/>
      <c r="V145" s="418"/>
      <c r="W145" s="418"/>
      <c r="X145" s="418"/>
      <c r="Y145" s="418"/>
      <c r="Z145" s="418"/>
      <c r="AA145" s="418"/>
      <c r="AB145" s="418"/>
      <c r="AC145" s="418"/>
    </row>
    <row r="146" spans="1:29" ht="14.25">
      <c r="A146" s="418"/>
      <c r="B146" s="418"/>
      <c r="C146" s="418"/>
      <c r="D146" s="418"/>
      <c r="E146" s="418"/>
      <c r="F146" s="418"/>
      <c r="G146" s="418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  <c r="T146" s="418"/>
      <c r="U146" s="418"/>
      <c r="V146" s="418"/>
      <c r="W146" s="418"/>
      <c r="X146" s="418"/>
      <c r="Y146" s="418"/>
      <c r="Z146" s="418"/>
      <c r="AA146" s="418"/>
      <c r="AB146" s="418"/>
      <c r="AC146" s="418"/>
    </row>
    <row r="147" spans="1:29" ht="14.25">
      <c r="A147" s="418"/>
      <c r="B147" s="418"/>
      <c r="C147" s="418"/>
      <c r="D147" s="418"/>
      <c r="E147" s="418"/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  <c r="Z147" s="418"/>
      <c r="AA147" s="418"/>
      <c r="AB147" s="418"/>
      <c r="AC147" s="418"/>
    </row>
    <row r="148" spans="1:29" ht="14.25">
      <c r="A148" s="418"/>
      <c r="B148" s="418"/>
      <c r="C148" s="418"/>
      <c r="D148" s="418"/>
      <c r="E148" s="418"/>
      <c r="F148" s="418"/>
      <c r="G148" s="41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  <c r="T148" s="418"/>
      <c r="U148" s="418"/>
      <c r="V148" s="418"/>
      <c r="W148" s="418"/>
      <c r="X148" s="418"/>
      <c r="Y148" s="418"/>
      <c r="Z148" s="418"/>
      <c r="AA148" s="418"/>
      <c r="AB148" s="418"/>
      <c r="AC148" s="418"/>
    </row>
    <row r="149" spans="1:29" ht="14.25">
      <c r="A149" s="418"/>
      <c r="B149" s="418"/>
      <c r="C149" s="418"/>
      <c r="D149" s="418"/>
      <c r="E149" s="418"/>
      <c r="F149" s="418"/>
      <c r="G149" s="418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  <c r="T149" s="418"/>
      <c r="U149" s="418"/>
      <c r="V149" s="418"/>
      <c r="W149" s="418"/>
      <c r="X149" s="418"/>
      <c r="Y149" s="418"/>
      <c r="Z149" s="418"/>
      <c r="AA149" s="418"/>
      <c r="AB149" s="418"/>
      <c r="AC149" s="418"/>
    </row>
    <row r="150" spans="1:29" ht="14.25">
      <c r="A150" s="418"/>
      <c r="B150" s="418"/>
      <c r="C150" s="418"/>
      <c r="D150" s="418"/>
      <c r="E150" s="418"/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  <c r="Z150" s="418"/>
      <c r="AA150" s="418"/>
      <c r="AB150" s="418"/>
      <c r="AC150" s="418"/>
    </row>
    <row r="151" spans="1:29" ht="14.25">
      <c r="A151" s="418"/>
      <c r="B151" s="418"/>
      <c r="C151" s="418"/>
      <c r="D151" s="418"/>
      <c r="E151" s="418"/>
      <c r="F151" s="418"/>
      <c r="G151" s="418"/>
      <c r="H151" s="418"/>
      <c r="I151" s="418"/>
      <c r="J151" s="418"/>
      <c r="K151" s="418"/>
      <c r="L151" s="418"/>
      <c r="M151" s="418"/>
      <c r="N151" s="418"/>
      <c r="O151" s="418"/>
      <c r="P151" s="418"/>
      <c r="Q151" s="418"/>
      <c r="R151" s="418"/>
      <c r="S151" s="418"/>
      <c r="T151" s="418"/>
      <c r="U151" s="418"/>
      <c r="V151" s="418"/>
      <c r="W151" s="418"/>
      <c r="X151" s="418"/>
      <c r="Y151" s="418"/>
      <c r="Z151" s="418"/>
      <c r="AA151" s="418"/>
      <c r="AB151" s="418"/>
      <c r="AC151" s="418"/>
    </row>
    <row r="152" spans="1:29" ht="14.25">
      <c r="A152" s="418"/>
      <c r="B152" s="418"/>
      <c r="C152" s="418"/>
      <c r="D152" s="418"/>
      <c r="E152" s="418"/>
      <c r="F152" s="418"/>
      <c r="G152" s="418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  <c r="Z152" s="418"/>
      <c r="AA152" s="418"/>
      <c r="AB152" s="418"/>
      <c r="AC152" s="418"/>
    </row>
    <row r="153" spans="1:29" ht="14.25">
      <c r="A153" s="418"/>
      <c r="B153" s="418"/>
      <c r="C153" s="418"/>
      <c r="D153" s="418"/>
      <c r="E153" s="418"/>
      <c r="F153" s="418"/>
      <c r="G153" s="418"/>
      <c r="H153" s="418"/>
      <c r="I153" s="418"/>
      <c r="J153" s="418"/>
      <c r="K153" s="418"/>
      <c r="L153" s="418"/>
      <c r="M153" s="418"/>
      <c r="N153" s="418"/>
      <c r="O153" s="418"/>
      <c r="P153" s="418"/>
      <c r="Q153" s="418"/>
      <c r="R153" s="418"/>
      <c r="S153" s="418"/>
      <c r="T153" s="418"/>
      <c r="U153" s="418"/>
      <c r="V153" s="418"/>
      <c r="W153" s="418"/>
      <c r="X153" s="418"/>
      <c r="Y153" s="418"/>
      <c r="Z153" s="418"/>
      <c r="AA153" s="418"/>
      <c r="AB153" s="418"/>
      <c r="AC153" s="418"/>
    </row>
    <row r="154" spans="1:29" ht="14.25">
      <c r="A154" s="418"/>
      <c r="B154" s="418"/>
      <c r="C154" s="418"/>
      <c r="D154" s="418"/>
      <c r="E154" s="418"/>
      <c r="F154" s="418"/>
      <c r="G154" s="418"/>
      <c r="H154" s="418"/>
      <c r="I154" s="418"/>
      <c r="J154" s="418"/>
      <c r="K154" s="418"/>
      <c r="L154" s="418"/>
      <c r="M154" s="418"/>
      <c r="N154" s="418"/>
      <c r="O154" s="418"/>
      <c r="P154" s="418"/>
      <c r="Q154" s="418"/>
      <c r="R154" s="418"/>
      <c r="S154" s="418"/>
      <c r="T154" s="418"/>
      <c r="U154" s="418"/>
      <c r="V154" s="418"/>
      <c r="W154" s="418"/>
      <c r="X154" s="418"/>
      <c r="Y154" s="418"/>
      <c r="Z154" s="418"/>
      <c r="AA154" s="418"/>
      <c r="AB154" s="418"/>
      <c r="AC154" s="418"/>
    </row>
    <row r="155" spans="1:29" ht="14.25">
      <c r="A155" s="418"/>
      <c r="B155" s="418"/>
      <c r="C155" s="418"/>
      <c r="D155" s="418"/>
      <c r="E155" s="418"/>
      <c r="F155" s="418"/>
      <c r="G155" s="418"/>
      <c r="H155" s="418"/>
      <c r="I155" s="418"/>
      <c r="J155" s="418"/>
      <c r="K155" s="418"/>
      <c r="L155" s="418"/>
      <c r="M155" s="418"/>
      <c r="N155" s="418"/>
      <c r="O155" s="418"/>
      <c r="P155" s="418"/>
      <c r="Q155" s="418"/>
      <c r="R155" s="418"/>
      <c r="S155" s="418"/>
      <c r="T155" s="418"/>
      <c r="U155" s="418"/>
      <c r="V155" s="418"/>
      <c r="W155" s="418"/>
      <c r="X155" s="418"/>
      <c r="Y155" s="418"/>
      <c r="Z155" s="418"/>
      <c r="AA155" s="418"/>
      <c r="AB155" s="418"/>
      <c r="AC155" s="418"/>
    </row>
    <row r="156" spans="1:29" ht="14.25">
      <c r="A156" s="418"/>
      <c r="B156" s="418"/>
      <c r="C156" s="418"/>
      <c r="D156" s="418"/>
      <c r="E156" s="418"/>
      <c r="F156" s="418"/>
      <c r="G156" s="418"/>
      <c r="H156" s="418"/>
      <c r="I156" s="418"/>
      <c r="J156" s="418"/>
      <c r="K156" s="418"/>
      <c r="L156" s="418"/>
      <c r="M156" s="418"/>
      <c r="N156" s="418"/>
      <c r="O156" s="418"/>
      <c r="P156" s="418"/>
      <c r="Q156" s="418"/>
      <c r="R156" s="418"/>
      <c r="S156" s="418"/>
      <c r="T156" s="418"/>
      <c r="U156" s="418"/>
      <c r="V156" s="418"/>
      <c r="W156" s="418"/>
      <c r="X156" s="418"/>
      <c r="Y156" s="418"/>
      <c r="Z156" s="418"/>
      <c r="AA156" s="418"/>
      <c r="AB156" s="418"/>
      <c r="AC156" s="418"/>
    </row>
    <row r="157" spans="1:29" ht="14.25">
      <c r="A157" s="418"/>
      <c r="B157" s="418"/>
      <c r="C157" s="418"/>
      <c r="D157" s="418"/>
      <c r="E157" s="418"/>
      <c r="F157" s="418"/>
      <c r="G157" s="418"/>
      <c r="H157" s="418"/>
      <c r="I157" s="418"/>
      <c r="J157" s="418"/>
      <c r="K157" s="418"/>
      <c r="L157" s="418"/>
      <c r="M157" s="418"/>
      <c r="N157" s="418"/>
      <c r="O157" s="418"/>
      <c r="P157" s="418"/>
      <c r="Q157" s="418"/>
      <c r="R157" s="418"/>
      <c r="S157" s="418"/>
      <c r="T157" s="418"/>
      <c r="U157" s="418"/>
      <c r="V157" s="418"/>
      <c r="W157" s="418"/>
      <c r="X157" s="418"/>
      <c r="Y157" s="418"/>
      <c r="Z157" s="418"/>
      <c r="AA157" s="418"/>
      <c r="AB157" s="418"/>
      <c r="AC157" s="418"/>
    </row>
    <row r="158" spans="1:29" ht="14.25">
      <c r="A158" s="418"/>
      <c r="B158" s="418"/>
      <c r="C158" s="418"/>
      <c r="D158" s="418"/>
      <c r="E158" s="418"/>
      <c r="F158" s="418"/>
      <c r="G158" s="418"/>
      <c r="H158" s="418"/>
      <c r="I158" s="418"/>
      <c r="J158" s="418"/>
      <c r="K158" s="418"/>
      <c r="L158" s="418"/>
      <c r="M158" s="418"/>
      <c r="N158" s="418"/>
      <c r="O158" s="418"/>
      <c r="P158" s="418"/>
      <c r="Q158" s="418"/>
      <c r="R158" s="418"/>
      <c r="S158" s="418"/>
      <c r="T158" s="418"/>
      <c r="U158" s="418"/>
      <c r="V158" s="418"/>
      <c r="W158" s="418"/>
      <c r="X158" s="418"/>
      <c r="Y158" s="418"/>
      <c r="Z158" s="418"/>
      <c r="AA158" s="418"/>
      <c r="AB158" s="418"/>
      <c r="AC158" s="418"/>
    </row>
    <row r="159" spans="1:29" ht="14.25">
      <c r="A159" s="418"/>
      <c r="B159" s="418"/>
      <c r="C159" s="418"/>
      <c r="D159" s="418"/>
      <c r="E159" s="418"/>
      <c r="F159" s="418"/>
      <c r="G159" s="418"/>
      <c r="H159" s="418"/>
      <c r="I159" s="418"/>
      <c r="J159" s="418"/>
      <c r="K159" s="418"/>
      <c r="L159" s="418"/>
      <c r="M159" s="418"/>
      <c r="N159" s="418"/>
      <c r="O159" s="418"/>
      <c r="P159" s="418"/>
      <c r="Q159" s="418"/>
      <c r="R159" s="418"/>
      <c r="S159" s="418"/>
      <c r="T159" s="418"/>
      <c r="U159" s="418"/>
      <c r="V159" s="418"/>
      <c r="W159" s="418"/>
      <c r="X159" s="418"/>
      <c r="Y159" s="418"/>
      <c r="Z159" s="418"/>
      <c r="AA159" s="418"/>
      <c r="AB159" s="418"/>
      <c r="AC159" s="418"/>
    </row>
    <row r="160" spans="1:29" ht="14.25">
      <c r="A160" s="418"/>
      <c r="B160" s="418"/>
      <c r="C160" s="418"/>
      <c r="D160" s="418"/>
      <c r="E160" s="418"/>
      <c r="F160" s="418"/>
      <c r="G160" s="418"/>
      <c r="H160" s="418"/>
      <c r="I160" s="418"/>
      <c r="J160" s="418"/>
      <c r="K160" s="418"/>
      <c r="L160" s="418"/>
      <c r="M160" s="418"/>
      <c r="N160" s="418"/>
      <c r="O160" s="418"/>
      <c r="P160" s="418"/>
      <c r="Q160" s="418"/>
      <c r="R160" s="418"/>
      <c r="S160" s="418"/>
      <c r="T160" s="418"/>
      <c r="U160" s="418"/>
      <c r="V160" s="418"/>
      <c r="W160" s="418"/>
      <c r="X160" s="418"/>
      <c r="Y160" s="418"/>
      <c r="Z160" s="418"/>
      <c r="AA160" s="418"/>
      <c r="AB160" s="418"/>
      <c r="AC160" s="418"/>
    </row>
    <row r="161" spans="1:29" ht="14.25">
      <c r="A161" s="418"/>
      <c r="B161" s="418"/>
      <c r="C161" s="418"/>
      <c r="D161" s="418"/>
      <c r="E161" s="418"/>
      <c r="F161" s="418"/>
      <c r="G161" s="418"/>
      <c r="H161" s="418"/>
      <c r="I161" s="418"/>
      <c r="J161" s="418"/>
      <c r="K161" s="418"/>
      <c r="L161" s="418"/>
      <c r="M161" s="418"/>
      <c r="N161" s="418"/>
      <c r="O161" s="418"/>
      <c r="P161" s="418"/>
      <c r="Q161" s="418"/>
      <c r="R161" s="418"/>
      <c r="S161" s="418"/>
      <c r="T161" s="418"/>
      <c r="U161" s="418"/>
      <c r="V161" s="418"/>
      <c r="W161" s="418"/>
      <c r="X161" s="418"/>
      <c r="Y161" s="418"/>
      <c r="Z161" s="418"/>
      <c r="AA161" s="418"/>
      <c r="AB161" s="418"/>
      <c r="AC161" s="418"/>
    </row>
    <row r="162" spans="1:29" ht="14.25">
      <c r="A162" s="418"/>
      <c r="B162" s="418"/>
      <c r="C162" s="418"/>
      <c r="D162" s="418"/>
      <c r="E162" s="418"/>
      <c r="F162" s="418"/>
      <c r="G162" s="418"/>
      <c r="H162" s="418"/>
      <c r="I162" s="418"/>
      <c r="J162" s="418"/>
      <c r="K162" s="418"/>
      <c r="L162" s="418"/>
      <c r="M162" s="418"/>
      <c r="N162" s="418"/>
      <c r="O162" s="418"/>
      <c r="P162" s="418"/>
      <c r="Q162" s="418"/>
      <c r="R162" s="418"/>
      <c r="S162" s="418"/>
      <c r="T162" s="418"/>
      <c r="U162" s="418"/>
      <c r="V162" s="418"/>
      <c r="W162" s="418"/>
      <c r="X162" s="418"/>
      <c r="Y162" s="418"/>
      <c r="Z162" s="418"/>
      <c r="AA162" s="418"/>
      <c r="AB162" s="418"/>
      <c r="AC162" s="418"/>
    </row>
    <row r="163" spans="1:29" ht="14.25">
      <c r="A163" s="418"/>
      <c r="B163" s="418"/>
      <c r="C163" s="418"/>
      <c r="D163" s="418"/>
      <c r="E163" s="418"/>
      <c r="F163" s="418"/>
      <c r="G163" s="418"/>
      <c r="H163" s="418"/>
      <c r="I163" s="418"/>
      <c r="J163" s="418"/>
      <c r="K163" s="418"/>
      <c r="L163" s="418"/>
      <c r="M163" s="418"/>
      <c r="N163" s="418"/>
      <c r="O163" s="418"/>
      <c r="P163" s="418"/>
      <c r="Q163" s="418"/>
      <c r="R163" s="418"/>
      <c r="S163" s="418"/>
      <c r="T163" s="418"/>
      <c r="U163" s="418"/>
      <c r="V163" s="418"/>
      <c r="W163" s="418"/>
      <c r="X163" s="418"/>
      <c r="Y163" s="418"/>
      <c r="Z163" s="418"/>
      <c r="AA163" s="418"/>
      <c r="AB163" s="418"/>
      <c r="AC163" s="418"/>
    </row>
    <row r="164" spans="1:29" ht="14.25">
      <c r="A164" s="418"/>
      <c r="B164" s="418"/>
      <c r="C164" s="418"/>
      <c r="D164" s="418"/>
      <c r="E164" s="418"/>
      <c r="F164" s="418"/>
      <c r="G164" s="418"/>
      <c r="H164" s="418"/>
      <c r="I164" s="418"/>
      <c r="J164" s="418"/>
      <c r="K164" s="418"/>
      <c r="L164" s="418"/>
      <c r="M164" s="418"/>
      <c r="N164" s="418"/>
      <c r="O164" s="418"/>
      <c r="P164" s="418"/>
      <c r="Q164" s="418"/>
      <c r="R164" s="418"/>
      <c r="S164" s="418"/>
      <c r="T164" s="418"/>
      <c r="U164" s="418"/>
      <c r="V164" s="418"/>
      <c r="W164" s="418"/>
      <c r="X164" s="418"/>
      <c r="Y164" s="418"/>
      <c r="Z164" s="418"/>
      <c r="AA164" s="418"/>
      <c r="AB164" s="418"/>
      <c r="AC164" s="418"/>
    </row>
    <row r="165" spans="1:29" ht="14.25">
      <c r="A165" s="418"/>
      <c r="B165" s="418"/>
      <c r="C165" s="418"/>
      <c r="D165" s="418"/>
      <c r="E165" s="418"/>
      <c r="F165" s="418"/>
      <c r="G165" s="418"/>
      <c r="H165" s="418"/>
      <c r="I165" s="418"/>
      <c r="J165" s="418"/>
      <c r="K165" s="418"/>
      <c r="L165" s="418"/>
      <c r="M165" s="418"/>
      <c r="N165" s="418"/>
      <c r="O165" s="418"/>
      <c r="P165" s="418"/>
      <c r="Q165" s="418"/>
      <c r="R165" s="418"/>
      <c r="S165" s="418"/>
      <c r="T165" s="418"/>
      <c r="U165" s="418"/>
      <c r="V165" s="418"/>
      <c r="W165" s="418"/>
      <c r="X165" s="418"/>
      <c r="Y165" s="418"/>
      <c r="Z165" s="418"/>
      <c r="AA165" s="418"/>
      <c r="AB165" s="418"/>
      <c r="AC165" s="418"/>
    </row>
    <row r="166" spans="1:29" ht="14.25">
      <c r="A166" s="418"/>
      <c r="B166" s="418"/>
      <c r="C166" s="418"/>
      <c r="D166" s="418"/>
      <c r="E166" s="418"/>
      <c r="F166" s="418"/>
      <c r="G166" s="418"/>
      <c r="H166" s="418"/>
      <c r="I166" s="418"/>
      <c r="J166" s="418"/>
      <c r="K166" s="418"/>
      <c r="L166" s="418"/>
      <c r="M166" s="418"/>
      <c r="N166" s="418"/>
      <c r="O166" s="418"/>
      <c r="P166" s="418"/>
      <c r="Q166" s="418"/>
      <c r="R166" s="418"/>
      <c r="S166" s="418"/>
      <c r="T166" s="418"/>
      <c r="U166" s="418"/>
      <c r="V166" s="418"/>
      <c r="W166" s="418"/>
      <c r="X166" s="418"/>
      <c r="Y166" s="418"/>
      <c r="Z166" s="418"/>
      <c r="AA166" s="418"/>
      <c r="AB166" s="418"/>
      <c r="AC166" s="418"/>
    </row>
    <row r="167" spans="1:29" ht="14.25">
      <c r="A167" s="418"/>
      <c r="B167" s="418"/>
      <c r="C167" s="418"/>
      <c r="D167" s="418"/>
      <c r="E167" s="418"/>
      <c r="F167" s="418"/>
      <c r="G167" s="418"/>
      <c r="H167" s="418"/>
      <c r="I167" s="418"/>
      <c r="J167" s="418"/>
      <c r="K167" s="418"/>
      <c r="L167" s="418"/>
      <c r="M167" s="418"/>
      <c r="N167" s="418"/>
      <c r="O167" s="418"/>
      <c r="P167" s="418"/>
      <c r="Q167" s="418"/>
      <c r="R167" s="418"/>
      <c r="S167" s="418"/>
      <c r="T167" s="418"/>
      <c r="U167" s="418"/>
      <c r="V167" s="418"/>
      <c r="W167" s="418"/>
      <c r="X167" s="418"/>
      <c r="Y167" s="418"/>
      <c r="Z167" s="418"/>
      <c r="AA167" s="418"/>
      <c r="AB167" s="418"/>
      <c r="AC167" s="418"/>
    </row>
    <row r="168" spans="1:29" ht="14.25">
      <c r="A168" s="418"/>
      <c r="B168" s="418"/>
      <c r="C168" s="418"/>
      <c r="D168" s="418"/>
      <c r="E168" s="418"/>
      <c r="F168" s="418"/>
      <c r="G168" s="418"/>
      <c r="H168" s="418"/>
      <c r="I168" s="418"/>
      <c r="J168" s="418"/>
      <c r="K168" s="418"/>
      <c r="L168" s="418"/>
      <c r="M168" s="418"/>
      <c r="N168" s="418"/>
      <c r="O168" s="418"/>
      <c r="P168" s="418"/>
      <c r="Q168" s="418"/>
      <c r="R168" s="418"/>
      <c r="S168" s="418"/>
      <c r="T168" s="418"/>
      <c r="U168" s="418"/>
      <c r="V168" s="418"/>
      <c r="W168" s="418"/>
      <c r="X168" s="418"/>
      <c r="Y168" s="418"/>
      <c r="Z168" s="418"/>
      <c r="AA168" s="418"/>
      <c r="AB168" s="418"/>
      <c r="AC168" s="418"/>
    </row>
    <row r="169" spans="1:29" ht="14.25">
      <c r="A169" s="418"/>
      <c r="B169" s="418"/>
      <c r="C169" s="418"/>
      <c r="D169" s="418"/>
      <c r="E169" s="418"/>
      <c r="F169" s="418"/>
      <c r="G169" s="418"/>
      <c r="H169" s="418"/>
      <c r="I169" s="418"/>
      <c r="J169" s="418"/>
      <c r="K169" s="418"/>
      <c r="L169" s="418"/>
      <c r="M169" s="418"/>
      <c r="N169" s="418"/>
      <c r="O169" s="418"/>
      <c r="P169" s="418"/>
      <c r="Q169" s="418"/>
      <c r="R169" s="418"/>
      <c r="S169" s="418"/>
      <c r="T169" s="418"/>
      <c r="U169" s="418"/>
      <c r="V169" s="418"/>
      <c r="W169" s="418"/>
      <c r="X169" s="418"/>
      <c r="Y169" s="418"/>
      <c r="Z169" s="418"/>
      <c r="AA169" s="418"/>
      <c r="AB169" s="418"/>
      <c r="AC169" s="418"/>
    </row>
    <row r="170" spans="1:29" ht="14.25">
      <c r="A170" s="418"/>
      <c r="B170" s="418"/>
      <c r="C170" s="418"/>
      <c r="D170" s="418"/>
      <c r="E170" s="418"/>
      <c r="F170" s="418"/>
      <c r="G170" s="418"/>
      <c r="H170" s="418"/>
      <c r="I170" s="418"/>
      <c r="J170" s="418"/>
      <c r="K170" s="418"/>
      <c r="L170" s="418"/>
      <c r="M170" s="418"/>
      <c r="N170" s="418"/>
      <c r="O170" s="418"/>
      <c r="P170" s="418"/>
      <c r="Q170" s="418"/>
      <c r="R170" s="418"/>
      <c r="S170" s="418"/>
      <c r="T170" s="418"/>
      <c r="U170" s="418"/>
      <c r="V170" s="418"/>
      <c r="W170" s="418"/>
      <c r="X170" s="418"/>
      <c r="Y170" s="418"/>
      <c r="Z170" s="418"/>
      <c r="AA170" s="418"/>
      <c r="AB170" s="418"/>
      <c r="AC170" s="418"/>
    </row>
    <row r="171" spans="1:29" ht="14.25">
      <c r="A171" s="418"/>
      <c r="B171" s="418"/>
      <c r="C171" s="418"/>
      <c r="D171" s="418"/>
      <c r="E171" s="418"/>
      <c r="F171" s="418"/>
      <c r="G171" s="418"/>
      <c r="H171" s="418"/>
      <c r="I171" s="418"/>
      <c r="J171" s="418"/>
      <c r="K171" s="418"/>
      <c r="L171" s="418"/>
      <c r="M171" s="418"/>
      <c r="N171" s="418"/>
      <c r="O171" s="418"/>
      <c r="P171" s="418"/>
      <c r="Q171" s="418"/>
      <c r="R171" s="418"/>
      <c r="S171" s="418"/>
      <c r="T171" s="418"/>
      <c r="U171" s="418"/>
      <c r="V171" s="418"/>
      <c r="W171" s="418"/>
      <c r="X171" s="418"/>
      <c r="Y171" s="418"/>
      <c r="Z171" s="418"/>
      <c r="AA171" s="418"/>
      <c r="AB171" s="418"/>
      <c r="AC171" s="418"/>
    </row>
    <row r="172" spans="1:29" ht="14.25">
      <c r="A172" s="418"/>
      <c r="B172" s="418"/>
      <c r="C172" s="418"/>
      <c r="D172" s="418"/>
      <c r="E172" s="418"/>
      <c r="F172" s="418"/>
      <c r="G172" s="418"/>
      <c r="H172" s="418"/>
      <c r="I172" s="418"/>
      <c r="J172" s="418"/>
      <c r="K172" s="418"/>
      <c r="L172" s="418"/>
      <c r="M172" s="418"/>
      <c r="N172" s="418"/>
      <c r="O172" s="418"/>
      <c r="P172" s="418"/>
      <c r="Q172" s="418"/>
      <c r="R172" s="418"/>
      <c r="S172" s="418"/>
      <c r="T172" s="418"/>
      <c r="U172" s="418"/>
      <c r="V172" s="418"/>
      <c r="W172" s="418"/>
      <c r="X172" s="418"/>
      <c r="Y172" s="418"/>
      <c r="Z172" s="418"/>
      <c r="AA172" s="418"/>
      <c r="AB172" s="418"/>
      <c r="AC172" s="418"/>
    </row>
    <row r="173" spans="1:29" ht="14.25">
      <c r="A173" s="418"/>
      <c r="B173" s="418"/>
      <c r="C173" s="418"/>
      <c r="D173" s="418"/>
      <c r="E173" s="418"/>
      <c r="F173" s="418"/>
      <c r="G173" s="418"/>
      <c r="H173" s="418"/>
      <c r="I173" s="418"/>
      <c r="J173" s="418"/>
      <c r="K173" s="418"/>
      <c r="L173" s="418"/>
      <c r="M173" s="418"/>
      <c r="N173" s="418"/>
      <c r="O173" s="418"/>
      <c r="P173" s="418"/>
      <c r="Q173" s="418"/>
      <c r="R173" s="418"/>
      <c r="S173" s="418"/>
      <c r="T173" s="418"/>
      <c r="U173" s="418"/>
      <c r="V173" s="418"/>
      <c r="W173" s="418"/>
      <c r="X173" s="418"/>
      <c r="Y173" s="418"/>
      <c r="Z173" s="418"/>
      <c r="AA173" s="418"/>
      <c r="AB173" s="418"/>
      <c r="AC173" s="418"/>
    </row>
    <row r="174" spans="1:29" ht="14.25">
      <c r="A174" s="418"/>
      <c r="B174" s="418"/>
      <c r="C174" s="418"/>
      <c r="D174" s="418"/>
      <c r="E174" s="418"/>
      <c r="F174" s="418"/>
      <c r="G174" s="418"/>
      <c r="H174" s="418"/>
      <c r="I174" s="418"/>
      <c r="J174" s="418"/>
      <c r="K174" s="418"/>
      <c r="L174" s="418"/>
      <c r="M174" s="418"/>
      <c r="N174" s="418"/>
      <c r="O174" s="418"/>
      <c r="P174" s="418"/>
      <c r="Q174" s="418"/>
      <c r="R174" s="418"/>
      <c r="S174" s="418"/>
      <c r="T174" s="418"/>
      <c r="U174" s="418"/>
      <c r="V174" s="418"/>
      <c r="W174" s="418"/>
      <c r="X174" s="418"/>
      <c r="Y174" s="418"/>
      <c r="Z174" s="418"/>
      <c r="AA174" s="418"/>
      <c r="AB174" s="418"/>
      <c r="AC174" s="418"/>
    </row>
    <row r="175" spans="1:29" ht="14.25">
      <c r="A175" s="418"/>
      <c r="B175" s="418"/>
      <c r="C175" s="418"/>
      <c r="D175" s="418"/>
      <c r="E175" s="418"/>
      <c r="F175" s="418"/>
      <c r="G175" s="418"/>
      <c r="H175" s="418"/>
      <c r="I175" s="418"/>
      <c r="J175" s="418"/>
      <c r="K175" s="418"/>
      <c r="L175" s="418"/>
      <c r="M175" s="418"/>
      <c r="N175" s="418"/>
      <c r="O175" s="418"/>
      <c r="P175" s="418"/>
      <c r="Q175" s="418"/>
      <c r="R175" s="418"/>
      <c r="S175" s="418"/>
      <c r="T175" s="418"/>
      <c r="U175" s="418"/>
      <c r="V175" s="418"/>
      <c r="W175" s="418"/>
      <c r="X175" s="418"/>
      <c r="Y175" s="418"/>
      <c r="Z175" s="418"/>
      <c r="AA175" s="418"/>
      <c r="AB175" s="418"/>
      <c r="AC175" s="418"/>
    </row>
    <row r="176" spans="1:29" ht="14.25">
      <c r="A176" s="418"/>
      <c r="B176" s="418"/>
      <c r="C176" s="418"/>
      <c r="D176" s="418"/>
      <c r="E176" s="418"/>
      <c r="F176" s="418"/>
      <c r="G176" s="418"/>
      <c r="H176" s="418"/>
      <c r="I176" s="418"/>
      <c r="J176" s="418"/>
      <c r="K176" s="418"/>
      <c r="L176" s="418"/>
      <c r="M176" s="418"/>
      <c r="N176" s="418"/>
      <c r="O176" s="418"/>
      <c r="P176" s="418"/>
      <c r="Q176" s="418"/>
      <c r="R176" s="418"/>
      <c r="S176" s="418"/>
      <c r="T176" s="418"/>
      <c r="U176" s="418"/>
      <c r="V176" s="418"/>
      <c r="W176" s="418"/>
      <c r="X176" s="418"/>
      <c r="Y176" s="418"/>
      <c r="Z176" s="418"/>
      <c r="AA176" s="418"/>
      <c r="AB176" s="418"/>
      <c r="AC176" s="418"/>
    </row>
    <row r="177" spans="1:29" ht="14.25">
      <c r="A177" s="418"/>
      <c r="B177" s="418"/>
      <c r="C177" s="418"/>
      <c r="D177" s="418"/>
      <c r="E177" s="418"/>
      <c r="F177" s="418"/>
      <c r="G177" s="418"/>
      <c r="H177" s="418"/>
      <c r="I177" s="418"/>
      <c r="J177" s="418"/>
      <c r="K177" s="418"/>
      <c r="L177" s="418"/>
      <c r="M177" s="418"/>
      <c r="N177" s="418"/>
      <c r="O177" s="418"/>
      <c r="P177" s="418"/>
      <c r="Q177" s="418"/>
      <c r="R177" s="418"/>
      <c r="S177" s="418"/>
      <c r="T177" s="418"/>
      <c r="U177" s="418"/>
      <c r="V177" s="418"/>
      <c r="W177" s="418"/>
      <c r="X177" s="418"/>
      <c r="Y177" s="418"/>
      <c r="Z177" s="418"/>
      <c r="AA177" s="418"/>
      <c r="AB177" s="418"/>
      <c r="AC177" s="418"/>
    </row>
    <row r="178" spans="1:29" ht="14.25">
      <c r="A178" s="418"/>
      <c r="B178" s="418"/>
      <c r="C178" s="418"/>
      <c r="D178" s="418"/>
      <c r="E178" s="418"/>
      <c r="F178" s="418"/>
      <c r="G178" s="418"/>
      <c r="H178" s="418"/>
      <c r="I178" s="418"/>
      <c r="J178" s="418"/>
      <c r="K178" s="418"/>
      <c r="L178" s="418"/>
      <c r="M178" s="418"/>
      <c r="N178" s="418"/>
      <c r="O178" s="418"/>
      <c r="P178" s="418"/>
      <c r="Q178" s="418"/>
      <c r="R178" s="418"/>
      <c r="S178" s="418"/>
      <c r="T178" s="418"/>
      <c r="U178" s="418"/>
      <c r="V178" s="418"/>
      <c r="W178" s="418"/>
      <c r="X178" s="418"/>
      <c r="Y178" s="418"/>
      <c r="Z178" s="418"/>
      <c r="AA178" s="418"/>
      <c r="AB178" s="418"/>
      <c r="AC178" s="418"/>
    </row>
    <row r="179" spans="1:29" ht="14.25">
      <c r="A179" s="418"/>
      <c r="B179" s="418"/>
      <c r="C179" s="418"/>
      <c r="D179" s="418"/>
      <c r="E179" s="418"/>
      <c r="F179" s="418"/>
      <c r="G179" s="418"/>
      <c r="H179" s="418"/>
      <c r="I179" s="418"/>
      <c r="J179" s="418"/>
      <c r="K179" s="418"/>
      <c r="L179" s="418"/>
      <c r="M179" s="418"/>
      <c r="N179" s="418"/>
      <c r="O179" s="418"/>
      <c r="P179" s="418"/>
      <c r="Q179" s="418"/>
      <c r="R179" s="418"/>
      <c r="S179" s="418"/>
      <c r="T179" s="418"/>
      <c r="U179" s="418"/>
      <c r="V179" s="418"/>
      <c r="W179" s="418"/>
      <c r="X179" s="418"/>
      <c r="Y179" s="418"/>
      <c r="Z179" s="418"/>
      <c r="AA179" s="418"/>
      <c r="AB179" s="418"/>
      <c r="AC179" s="418"/>
    </row>
    <row r="180" spans="1:29" ht="14.25">
      <c r="A180" s="418"/>
      <c r="B180" s="418"/>
      <c r="C180" s="418"/>
      <c r="D180" s="418"/>
      <c r="E180" s="418"/>
      <c r="F180" s="418"/>
      <c r="G180" s="418"/>
      <c r="H180" s="418"/>
      <c r="I180" s="418"/>
      <c r="J180" s="418"/>
      <c r="K180" s="418"/>
      <c r="L180" s="418"/>
      <c r="M180" s="418"/>
      <c r="N180" s="418"/>
      <c r="O180" s="418"/>
      <c r="P180" s="418"/>
      <c r="Q180" s="418"/>
      <c r="R180" s="418"/>
      <c r="S180" s="418"/>
      <c r="T180" s="418"/>
      <c r="U180" s="418"/>
      <c r="V180" s="418"/>
      <c r="W180" s="418"/>
      <c r="X180" s="418"/>
      <c r="Y180" s="418"/>
      <c r="Z180" s="418"/>
      <c r="AA180" s="418"/>
      <c r="AB180" s="418"/>
      <c r="AC180" s="418"/>
    </row>
    <row r="181" spans="1:29" ht="14.25">
      <c r="A181" s="418"/>
      <c r="B181" s="418"/>
      <c r="C181" s="418"/>
      <c r="D181" s="418"/>
      <c r="E181" s="418"/>
      <c r="F181" s="418"/>
      <c r="G181" s="418"/>
      <c r="H181" s="418"/>
      <c r="I181" s="418"/>
      <c r="J181" s="418"/>
      <c r="K181" s="418"/>
      <c r="L181" s="418"/>
      <c r="M181" s="418"/>
      <c r="N181" s="418"/>
      <c r="O181" s="418"/>
      <c r="P181" s="418"/>
      <c r="Q181" s="418"/>
      <c r="R181" s="418"/>
      <c r="S181" s="418"/>
      <c r="T181" s="418"/>
      <c r="U181" s="418"/>
      <c r="V181" s="418"/>
      <c r="W181" s="418"/>
      <c r="X181" s="418"/>
      <c r="Y181" s="418"/>
      <c r="Z181" s="418"/>
      <c r="AA181" s="418"/>
      <c r="AB181" s="418"/>
      <c r="AC181" s="418"/>
    </row>
    <row r="182" spans="1:29" ht="14.25">
      <c r="A182" s="418"/>
      <c r="B182" s="418"/>
      <c r="C182" s="418"/>
      <c r="D182" s="418"/>
      <c r="E182" s="418"/>
      <c r="F182" s="418"/>
      <c r="G182" s="418"/>
      <c r="H182" s="418"/>
      <c r="I182" s="418"/>
      <c r="J182" s="418"/>
      <c r="K182" s="418"/>
      <c r="L182" s="418"/>
      <c r="M182" s="418"/>
      <c r="N182" s="418"/>
      <c r="O182" s="418"/>
      <c r="P182" s="418"/>
      <c r="Q182" s="418"/>
      <c r="R182" s="418"/>
      <c r="S182" s="418"/>
      <c r="T182" s="418"/>
      <c r="U182" s="418"/>
      <c r="V182" s="418"/>
      <c r="W182" s="418"/>
      <c r="X182" s="418"/>
      <c r="Y182" s="418"/>
      <c r="Z182" s="418"/>
      <c r="AA182" s="418"/>
      <c r="AB182" s="418"/>
      <c r="AC182" s="418"/>
    </row>
    <row r="183" spans="1:29" ht="14.25">
      <c r="A183" s="418"/>
      <c r="B183" s="418"/>
      <c r="C183" s="418"/>
      <c r="D183" s="418"/>
      <c r="E183" s="418"/>
      <c r="F183" s="418"/>
      <c r="G183" s="418"/>
      <c r="H183" s="418"/>
      <c r="I183" s="418"/>
      <c r="J183" s="418"/>
      <c r="K183" s="418"/>
      <c r="L183" s="418"/>
      <c r="M183" s="418"/>
      <c r="N183" s="418"/>
      <c r="O183" s="418"/>
      <c r="P183" s="418"/>
      <c r="Q183" s="418"/>
      <c r="R183" s="418"/>
      <c r="S183" s="418"/>
      <c r="T183" s="418"/>
      <c r="U183" s="418"/>
      <c r="V183" s="418"/>
      <c r="W183" s="418"/>
      <c r="X183" s="418"/>
      <c r="Y183" s="418"/>
      <c r="Z183" s="418"/>
      <c r="AA183" s="418"/>
      <c r="AB183" s="418"/>
      <c r="AC183" s="418"/>
    </row>
    <row r="184" spans="1:29" ht="14.25">
      <c r="A184" s="418"/>
      <c r="B184" s="418"/>
      <c r="C184" s="418"/>
      <c r="D184" s="418"/>
      <c r="E184" s="418"/>
      <c r="F184" s="418"/>
      <c r="G184" s="418"/>
      <c r="H184" s="418"/>
      <c r="I184" s="418"/>
      <c r="J184" s="418"/>
      <c r="K184" s="418"/>
      <c r="L184" s="418"/>
      <c r="M184" s="418"/>
      <c r="N184" s="418"/>
      <c r="O184" s="418"/>
      <c r="P184" s="418"/>
      <c r="Q184" s="418"/>
      <c r="R184" s="418"/>
      <c r="S184" s="418"/>
      <c r="T184" s="418"/>
      <c r="U184" s="418"/>
      <c r="V184" s="418"/>
      <c r="W184" s="418"/>
      <c r="X184" s="418"/>
      <c r="Y184" s="418"/>
      <c r="Z184" s="418"/>
      <c r="AA184" s="418"/>
      <c r="AB184" s="418"/>
      <c r="AC184" s="418"/>
    </row>
    <row r="185" spans="1:29" ht="14.25">
      <c r="A185" s="418"/>
      <c r="B185" s="418"/>
      <c r="C185" s="418"/>
      <c r="D185" s="418"/>
      <c r="E185" s="418"/>
      <c r="F185" s="418"/>
      <c r="G185" s="418"/>
      <c r="H185" s="418"/>
      <c r="I185" s="418"/>
      <c r="J185" s="418"/>
      <c r="K185" s="418"/>
      <c r="L185" s="418"/>
      <c r="M185" s="418"/>
      <c r="N185" s="418"/>
      <c r="O185" s="418"/>
      <c r="P185" s="418"/>
      <c r="Q185" s="418"/>
      <c r="R185" s="418"/>
      <c r="S185" s="418"/>
      <c r="T185" s="418"/>
      <c r="U185" s="418"/>
      <c r="V185" s="418"/>
      <c r="W185" s="418"/>
      <c r="X185" s="418"/>
      <c r="Y185" s="418"/>
      <c r="Z185" s="418"/>
      <c r="AA185" s="418"/>
      <c r="AB185" s="418"/>
      <c r="AC185" s="418"/>
    </row>
    <row r="186" spans="1:29" ht="14.25">
      <c r="A186" s="418"/>
      <c r="B186" s="418"/>
      <c r="C186" s="418"/>
      <c r="D186" s="418"/>
      <c r="E186" s="418"/>
      <c r="F186" s="418"/>
      <c r="G186" s="418"/>
      <c r="H186" s="418"/>
      <c r="I186" s="418"/>
      <c r="J186" s="418"/>
      <c r="K186" s="418"/>
      <c r="L186" s="418"/>
      <c r="M186" s="418"/>
      <c r="N186" s="418"/>
      <c r="O186" s="418"/>
      <c r="P186" s="418"/>
      <c r="Q186" s="418"/>
      <c r="R186" s="418"/>
      <c r="S186" s="418"/>
      <c r="T186" s="418"/>
      <c r="U186" s="418"/>
      <c r="V186" s="418"/>
      <c r="W186" s="418"/>
      <c r="X186" s="418"/>
      <c r="Y186" s="418"/>
      <c r="Z186" s="418"/>
      <c r="AA186" s="418"/>
      <c r="AB186" s="418"/>
      <c r="AC186" s="418"/>
    </row>
    <row r="187" spans="1:29" ht="14.25">
      <c r="A187" s="418"/>
      <c r="B187" s="418"/>
      <c r="C187" s="418"/>
      <c r="D187" s="418"/>
      <c r="E187" s="418"/>
      <c r="F187" s="418"/>
      <c r="G187" s="418"/>
      <c r="H187" s="418"/>
      <c r="I187" s="418"/>
      <c r="J187" s="418"/>
      <c r="K187" s="418"/>
      <c r="L187" s="418"/>
      <c r="M187" s="418"/>
      <c r="N187" s="418"/>
      <c r="O187" s="418"/>
      <c r="P187" s="418"/>
      <c r="Q187" s="418"/>
      <c r="R187" s="418"/>
      <c r="S187" s="418"/>
      <c r="T187" s="418"/>
      <c r="U187" s="418"/>
      <c r="V187" s="418"/>
      <c r="W187" s="418"/>
      <c r="X187" s="418"/>
      <c r="Y187" s="418"/>
      <c r="Z187" s="418"/>
      <c r="AA187" s="418"/>
      <c r="AB187" s="418"/>
      <c r="AC187" s="418"/>
    </row>
    <row r="188" spans="1:29" ht="14.25">
      <c r="A188" s="418"/>
      <c r="B188" s="418"/>
      <c r="C188" s="418"/>
      <c r="D188" s="418"/>
      <c r="E188" s="418"/>
      <c r="F188" s="418"/>
      <c r="G188" s="418"/>
      <c r="H188" s="418"/>
      <c r="I188" s="418"/>
      <c r="J188" s="418"/>
      <c r="K188" s="418"/>
      <c r="L188" s="418"/>
      <c r="M188" s="418"/>
      <c r="N188" s="418"/>
      <c r="O188" s="418"/>
      <c r="P188" s="418"/>
      <c r="Q188" s="418"/>
      <c r="R188" s="418"/>
      <c r="S188" s="418"/>
      <c r="T188" s="418"/>
      <c r="U188" s="418"/>
      <c r="V188" s="418"/>
      <c r="W188" s="418"/>
      <c r="X188" s="418"/>
      <c r="Y188" s="418"/>
      <c r="Z188" s="418"/>
      <c r="AA188" s="418"/>
      <c r="AB188" s="418"/>
      <c r="AC188" s="418"/>
    </row>
    <row r="189" spans="1:29" ht="14.25">
      <c r="A189" s="418"/>
      <c r="B189" s="418"/>
      <c r="C189" s="418"/>
      <c r="D189" s="418"/>
      <c r="E189" s="418"/>
      <c r="F189" s="418"/>
      <c r="G189" s="418"/>
      <c r="H189" s="418"/>
      <c r="I189" s="418"/>
      <c r="J189" s="418"/>
      <c r="K189" s="418"/>
      <c r="L189" s="418"/>
      <c r="M189" s="418"/>
      <c r="N189" s="418"/>
      <c r="O189" s="418"/>
      <c r="P189" s="418"/>
      <c r="Q189" s="418"/>
      <c r="R189" s="418"/>
      <c r="S189" s="418"/>
      <c r="T189" s="418"/>
      <c r="U189" s="418"/>
      <c r="V189" s="418"/>
      <c r="W189" s="418"/>
      <c r="X189" s="418"/>
      <c r="Y189" s="418"/>
      <c r="Z189" s="418"/>
      <c r="AA189" s="418"/>
      <c r="AB189" s="418"/>
      <c r="AC189" s="418"/>
    </row>
    <row r="190" spans="1:29" ht="14.25">
      <c r="A190" s="418"/>
      <c r="B190" s="418"/>
      <c r="C190" s="418"/>
      <c r="D190" s="418"/>
      <c r="E190" s="418"/>
      <c r="F190" s="418"/>
      <c r="G190" s="418"/>
      <c r="H190" s="418"/>
      <c r="I190" s="418"/>
      <c r="J190" s="418"/>
      <c r="K190" s="418"/>
      <c r="L190" s="418"/>
      <c r="M190" s="418"/>
      <c r="N190" s="418"/>
      <c r="O190" s="418"/>
      <c r="P190" s="418"/>
      <c r="Q190" s="418"/>
      <c r="R190" s="418"/>
      <c r="S190" s="418"/>
      <c r="T190" s="418"/>
      <c r="U190" s="418"/>
      <c r="V190" s="418"/>
      <c r="W190" s="418"/>
      <c r="X190" s="418"/>
      <c r="Y190" s="418"/>
      <c r="Z190" s="418"/>
      <c r="AA190" s="418"/>
      <c r="AB190" s="418"/>
      <c r="AC190" s="418"/>
    </row>
    <row r="191" spans="1:29" ht="14.25">
      <c r="A191" s="418"/>
      <c r="B191" s="418"/>
      <c r="C191" s="418"/>
      <c r="D191" s="418"/>
      <c r="E191" s="418"/>
      <c r="F191" s="418"/>
      <c r="G191" s="418"/>
      <c r="H191" s="418"/>
      <c r="I191" s="418"/>
      <c r="J191" s="418"/>
      <c r="K191" s="418"/>
      <c r="L191" s="418"/>
      <c r="M191" s="418"/>
      <c r="N191" s="418"/>
      <c r="O191" s="418"/>
      <c r="P191" s="418"/>
      <c r="Q191" s="418"/>
      <c r="R191" s="418"/>
      <c r="S191" s="418"/>
      <c r="T191" s="418"/>
      <c r="U191" s="418"/>
      <c r="V191" s="418"/>
      <c r="W191" s="418"/>
      <c r="X191" s="418"/>
      <c r="Y191" s="418"/>
      <c r="Z191" s="418"/>
      <c r="AA191" s="418"/>
      <c r="AB191" s="418"/>
      <c r="AC191" s="418"/>
    </row>
    <row r="192" spans="1:29" ht="14.25">
      <c r="A192" s="418"/>
      <c r="B192" s="418"/>
      <c r="C192" s="418"/>
      <c r="D192" s="418"/>
      <c r="E192" s="418"/>
      <c r="F192" s="418"/>
      <c r="G192" s="418"/>
      <c r="H192" s="418"/>
      <c r="I192" s="418"/>
      <c r="J192" s="418"/>
      <c r="K192" s="418"/>
      <c r="L192" s="418"/>
      <c r="M192" s="418"/>
      <c r="N192" s="418"/>
      <c r="O192" s="418"/>
      <c r="P192" s="418"/>
      <c r="Q192" s="418"/>
      <c r="R192" s="418"/>
      <c r="S192" s="418"/>
      <c r="T192" s="418"/>
      <c r="U192" s="418"/>
      <c r="V192" s="418"/>
      <c r="W192" s="418"/>
      <c r="X192" s="418"/>
      <c r="Y192" s="418"/>
      <c r="Z192" s="418"/>
      <c r="AA192" s="418"/>
      <c r="AB192" s="418"/>
      <c r="AC192" s="418"/>
    </row>
    <row r="193" spans="1:29" ht="14.25">
      <c r="A193" s="418"/>
      <c r="B193" s="418"/>
      <c r="C193" s="418"/>
      <c r="D193" s="418"/>
      <c r="E193" s="418"/>
      <c r="F193" s="418"/>
      <c r="G193" s="418"/>
      <c r="H193" s="418"/>
      <c r="I193" s="418"/>
      <c r="J193" s="418"/>
      <c r="K193" s="418"/>
      <c r="L193" s="418"/>
      <c r="M193" s="418"/>
      <c r="N193" s="418"/>
      <c r="O193" s="418"/>
      <c r="P193" s="418"/>
      <c r="Q193" s="418"/>
      <c r="R193" s="418"/>
      <c r="S193" s="418"/>
      <c r="T193" s="418"/>
      <c r="U193" s="418"/>
      <c r="V193" s="418"/>
      <c r="W193" s="418"/>
      <c r="X193" s="418"/>
      <c r="Y193" s="418"/>
      <c r="Z193" s="418"/>
      <c r="AA193" s="418"/>
      <c r="AB193" s="418"/>
      <c r="AC193" s="418"/>
    </row>
    <row r="194" spans="1:29" ht="14.25">
      <c r="A194" s="418"/>
      <c r="B194" s="418"/>
      <c r="C194" s="418"/>
      <c r="D194" s="418"/>
      <c r="E194" s="418"/>
      <c r="F194" s="418"/>
      <c r="G194" s="418"/>
      <c r="H194" s="418"/>
      <c r="I194" s="418"/>
      <c r="J194" s="418"/>
      <c r="K194" s="418"/>
      <c r="L194" s="418"/>
      <c r="M194" s="418"/>
      <c r="N194" s="418"/>
      <c r="O194" s="418"/>
      <c r="P194" s="418"/>
      <c r="Q194" s="418"/>
      <c r="R194" s="418"/>
      <c r="S194" s="418"/>
      <c r="T194" s="418"/>
      <c r="U194" s="418"/>
      <c r="V194" s="418"/>
      <c r="W194" s="418"/>
      <c r="X194" s="418"/>
      <c r="Y194" s="418"/>
      <c r="Z194" s="418"/>
      <c r="AA194" s="418"/>
      <c r="AB194" s="418"/>
      <c r="AC194" s="418"/>
    </row>
    <row r="195" spans="1:29" ht="14.25">
      <c r="A195" s="418"/>
      <c r="B195" s="418"/>
      <c r="C195" s="418"/>
      <c r="D195" s="418"/>
      <c r="E195" s="418"/>
      <c r="F195" s="418"/>
      <c r="G195" s="418"/>
      <c r="H195" s="418"/>
      <c r="I195" s="418"/>
      <c r="J195" s="418"/>
      <c r="K195" s="418"/>
      <c r="L195" s="418"/>
      <c r="M195" s="418"/>
      <c r="N195" s="418"/>
      <c r="O195" s="418"/>
      <c r="P195" s="418"/>
      <c r="Q195" s="418"/>
      <c r="R195" s="418"/>
      <c r="S195" s="418"/>
      <c r="T195" s="418"/>
      <c r="U195" s="418"/>
      <c r="V195" s="418"/>
      <c r="W195" s="418"/>
      <c r="X195" s="418"/>
      <c r="Y195" s="418"/>
      <c r="Z195" s="418"/>
      <c r="AA195" s="418"/>
      <c r="AB195" s="418"/>
      <c r="AC195" s="418"/>
    </row>
    <row r="196" spans="1:29" ht="14.25">
      <c r="A196" s="418"/>
      <c r="B196" s="418"/>
      <c r="C196" s="418"/>
      <c r="D196" s="418"/>
      <c r="E196" s="418"/>
      <c r="F196" s="418"/>
      <c r="G196" s="418"/>
      <c r="H196" s="418"/>
      <c r="I196" s="418"/>
      <c r="J196" s="418"/>
      <c r="K196" s="418"/>
      <c r="L196" s="418"/>
      <c r="M196" s="418"/>
      <c r="N196" s="418"/>
      <c r="O196" s="418"/>
      <c r="P196" s="418"/>
      <c r="Q196" s="418"/>
      <c r="R196" s="418"/>
      <c r="S196" s="418"/>
      <c r="T196" s="418"/>
      <c r="U196" s="418"/>
      <c r="V196" s="418"/>
      <c r="W196" s="418"/>
      <c r="X196" s="418"/>
      <c r="Y196" s="418"/>
      <c r="Z196" s="418"/>
      <c r="AA196" s="418"/>
      <c r="AB196" s="418"/>
      <c r="AC196" s="418"/>
    </row>
    <row r="197" spans="1:29" ht="14.25">
      <c r="A197" s="418"/>
      <c r="B197" s="418"/>
      <c r="C197" s="418"/>
      <c r="D197" s="418"/>
      <c r="E197" s="418"/>
      <c r="F197" s="418"/>
      <c r="G197" s="418"/>
      <c r="H197" s="418"/>
      <c r="I197" s="418"/>
      <c r="J197" s="418"/>
      <c r="K197" s="418"/>
      <c r="L197" s="418"/>
      <c r="M197" s="418"/>
      <c r="N197" s="418"/>
      <c r="O197" s="418"/>
      <c r="P197" s="418"/>
      <c r="Q197" s="418"/>
      <c r="R197" s="418"/>
      <c r="S197" s="418"/>
      <c r="T197" s="418"/>
      <c r="U197" s="418"/>
      <c r="V197" s="418"/>
      <c r="W197" s="418"/>
      <c r="X197" s="418"/>
      <c r="Y197" s="418"/>
      <c r="Z197" s="418"/>
      <c r="AA197" s="418"/>
      <c r="AB197" s="418"/>
      <c r="AC197" s="418"/>
    </row>
    <row r="198" spans="1:29" ht="14.25">
      <c r="A198" s="418"/>
      <c r="B198" s="418"/>
      <c r="C198" s="418"/>
      <c r="D198" s="418"/>
      <c r="E198" s="418"/>
      <c r="F198" s="418"/>
      <c r="G198" s="418"/>
      <c r="H198" s="418"/>
      <c r="I198" s="418"/>
      <c r="J198" s="418"/>
      <c r="K198" s="418"/>
      <c r="L198" s="418"/>
      <c r="M198" s="418"/>
      <c r="N198" s="418"/>
      <c r="O198" s="418"/>
      <c r="P198" s="418"/>
      <c r="Q198" s="418"/>
      <c r="R198" s="418"/>
      <c r="S198" s="418"/>
      <c r="T198" s="418"/>
      <c r="U198" s="418"/>
      <c r="V198" s="418"/>
      <c r="W198" s="418"/>
      <c r="X198" s="418"/>
      <c r="Y198" s="418"/>
      <c r="Z198" s="418"/>
      <c r="AA198" s="418"/>
      <c r="AB198" s="418"/>
      <c r="AC198" s="418"/>
    </row>
    <row r="199" spans="1:29" ht="14.25">
      <c r="A199" s="418"/>
      <c r="B199" s="418"/>
      <c r="C199" s="418"/>
      <c r="D199" s="418"/>
      <c r="E199" s="418"/>
      <c r="F199" s="418"/>
      <c r="G199" s="418"/>
      <c r="H199" s="418"/>
      <c r="I199" s="418"/>
      <c r="J199" s="418"/>
      <c r="K199" s="418"/>
      <c r="L199" s="418"/>
      <c r="M199" s="418"/>
      <c r="N199" s="418"/>
      <c r="O199" s="418"/>
      <c r="P199" s="418"/>
      <c r="Q199" s="418"/>
      <c r="R199" s="418"/>
      <c r="S199" s="418"/>
      <c r="T199" s="418"/>
      <c r="U199" s="418"/>
      <c r="V199" s="418"/>
      <c r="W199" s="418"/>
      <c r="X199" s="418"/>
      <c r="Y199" s="418"/>
      <c r="Z199" s="418"/>
      <c r="AA199" s="418"/>
      <c r="AB199" s="418"/>
      <c r="AC199" s="418"/>
    </row>
    <row r="200" spans="1:29" ht="14.25">
      <c r="A200" s="418"/>
      <c r="B200" s="418"/>
      <c r="C200" s="418"/>
      <c r="D200" s="418"/>
      <c r="E200" s="418"/>
      <c r="F200" s="418"/>
      <c r="G200" s="418"/>
      <c r="H200" s="418"/>
      <c r="I200" s="418"/>
      <c r="J200" s="418"/>
      <c r="K200" s="418"/>
      <c r="L200" s="418"/>
      <c r="M200" s="418"/>
      <c r="N200" s="418"/>
      <c r="O200" s="418"/>
      <c r="P200" s="418"/>
      <c r="Q200" s="418"/>
      <c r="R200" s="418"/>
      <c r="S200" s="418"/>
      <c r="T200" s="418"/>
      <c r="U200" s="418"/>
      <c r="V200" s="418"/>
      <c r="W200" s="418"/>
      <c r="X200" s="418"/>
      <c r="Y200" s="418"/>
      <c r="Z200" s="418"/>
      <c r="AA200" s="418"/>
      <c r="AB200" s="418"/>
      <c r="AC200" s="418"/>
    </row>
    <row r="201" spans="1:29" ht="14.25">
      <c r="A201" s="418"/>
      <c r="B201" s="418"/>
      <c r="C201" s="418"/>
      <c r="D201" s="418"/>
      <c r="E201" s="418"/>
      <c r="F201" s="418"/>
      <c r="G201" s="418"/>
      <c r="H201" s="418"/>
      <c r="I201" s="418"/>
      <c r="J201" s="418"/>
      <c r="K201" s="418"/>
      <c r="L201" s="418"/>
      <c r="M201" s="418"/>
      <c r="N201" s="418"/>
      <c r="O201" s="418"/>
      <c r="P201" s="418"/>
      <c r="Q201" s="418"/>
      <c r="R201" s="418"/>
      <c r="S201" s="418"/>
      <c r="T201" s="418"/>
      <c r="U201" s="418"/>
      <c r="V201" s="418"/>
      <c r="W201" s="418"/>
      <c r="X201" s="418"/>
      <c r="Y201" s="418"/>
      <c r="Z201" s="418"/>
      <c r="AA201" s="418"/>
      <c r="AB201" s="418"/>
      <c r="AC201" s="418"/>
    </row>
    <row r="202" spans="1:29" ht="14.25">
      <c r="A202" s="418"/>
      <c r="B202" s="418"/>
      <c r="C202" s="418"/>
      <c r="D202" s="418"/>
      <c r="E202" s="418"/>
      <c r="F202" s="418"/>
      <c r="G202" s="418"/>
      <c r="H202" s="418"/>
      <c r="I202" s="418"/>
      <c r="J202" s="418"/>
      <c r="K202" s="418"/>
      <c r="L202" s="418"/>
      <c r="M202" s="418"/>
      <c r="N202" s="418"/>
      <c r="O202" s="418"/>
      <c r="P202" s="418"/>
      <c r="Q202" s="418"/>
      <c r="R202" s="418"/>
      <c r="S202" s="418"/>
      <c r="T202" s="418"/>
      <c r="U202" s="418"/>
      <c r="V202" s="418"/>
      <c r="W202" s="418"/>
      <c r="X202" s="418"/>
      <c r="Y202" s="418"/>
      <c r="Z202" s="418"/>
      <c r="AA202" s="418"/>
      <c r="AB202" s="418"/>
      <c r="AC202" s="418"/>
    </row>
    <row r="203" spans="1:29" ht="14.25">
      <c r="A203" s="418"/>
      <c r="B203" s="418"/>
      <c r="C203" s="418"/>
      <c r="D203" s="418"/>
      <c r="E203" s="418"/>
      <c r="F203" s="418"/>
      <c r="G203" s="418"/>
      <c r="H203" s="418"/>
      <c r="I203" s="418"/>
      <c r="J203" s="418"/>
      <c r="K203" s="418"/>
      <c r="L203" s="418"/>
      <c r="M203" s="418"/>
      <c r="N203" s="418"/>
      <c r="O203" s="418"/>
      <c r="P203" s="418"/>
      <c r="Q203" s="418"/>
      <c r="R203" s="418"/>
      <c r="S203" s="418"/>
      <c r="T203" s="418"/>
      <c r="U203" s="418"/>
      <c r="V203" s="418"/>
      <c r="W203" s="418"/>
      <c r="X203" s="418"/>
      <c r="Y203" s="418"/>
      <c r="Z203" s="418"/>
      <c r="AA203" s="418"/>
      <c r="AB203" s="418"/>
      <c r="AC203" s="418"/>
    </row>
    <row r="204" spans="1:29" ht="14.25">
      <c r="A204" s="418"/>
      <c r="B204" s="418"/>
      <c r="C204" s="418"/>
      <c r="D204" s="418"/>
      <c r="E204" s="418"/>
      <c r="F204" s="418"/>
      <c r="G204" s="418"/>
      <c r="H204" s="418"/>
      <c r="I204" s="418"/>
      <c r="J204" s="418"/>
      <c r="K204" s="418"/>
      <c r="L204" s="418"/>
      <c r="M204" s="418"/>
      <c r="N204" s="418"/>
      <c r="O204" s="418"/>
      <c r="P204" s="418"/>
      <c r="Q204" s="418"/>
      <c r="R204" s="418"/>
      <c r="S204" s="418"/>
      <c r="T204" s="418"/>
      <c r="U204" s="418"/>
      <c r="V204" s="418"/>
      <c r="W204" s="418"/>
      <c r="X204" s="418"/>
      <c r="Y204" s="418"/>
      <c r="Z204" s="418"/>
      <c r="AA204" s="418"/>
      <c r="AB204" s="418"/>
      <c r="AC204" s="418"/>
    </row>
    <row r="205" spans="1:29" ht="14.25">
      <c r="A205" s="418"/>
      <c r="B205" s="418"/>
      <c r="C205" s="418"/>
      <c r="D205" s="418"/>
      <c r="E205" s="418"/>
      <c r="F205" s="418"/>
      <c r="G205" s="418"/>
      <c r="H205" s="418"/>
      <c r="I205" s="418"/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  <c r="T205" s="418"/>
      <c r="U205" s="418"/>
      <c r="V205" s="418"/>
      <c r="W205" s="418"/>
      <c r="X205" s="418"/>
      <c r="Y205" s="418"/>
      <c r="Z205" s="418"/>
      <c r="AA205" s="418"/>
      <c r="AB205" s="418"/>
      <c r="AC205" s="418"/>
    </row>
    <row r="206" spans="1:29" ht="14.25">
      <c r="A206" s="418"/>
      <c r="B206" s="418"/>
      <c r="C206" s="418"/>
      <c r="D206" s="418"/>
      <c r="E206" s="418"/>
      <c r="F206" s="418"/>
      <c r="G206" s="418"/>
      <c r="H206" s="418"/>
      <c r="I206" s="418"/>
      <c r="J206" s="418"/>
      <c r="K206" s="418"/>
      <c r="L206" s="418"/>
      <c r="M206" s="418"/>
      <c r="N206" s="418"/>
      <c r="O206" s="418"/>
      <c r="P206" s="418"/>
      <c r="Q206" s="418"/>
      <c r="R206" s="418"/>
      <c r="S206" s="418"/>
      <c r="T206" s="418"/>
      <c r="U206" s="418"/>
      <c r="V206" s="418"/>
      <c r="W206" s="418"/>
      <c r="X206" s="418"/>
      <c r="Y206" s="418"/>
      <c r="Z206" s="418"/>
      <c r="AA206" s="418"/>
      <c r="AB206" s="418"/>
      <c r="AC206" s="418"/>
    </row>
    <row r="207" spans="1:29" ht="14.25">
      <c r="A207" s="418"/>
      <c r="B207" s="418"/>
      <c r="C207" s="418"/>
      <c r="D207" s="418"/>
      <c r="E207" s="418"/>
      <c r="F207" s="418"/>
      <c r="G207" s="418"/>
      <c r="H207" s="418"/>
      <c r="I207" s="418"/>
      <c r="J207" s="418"/>
      <c r="K207" s="418"/>
      <c r="L207" s="418"/>
      <c r="M207" s="418"/>
      <c r="N207" s="418"/>
      <c r="O207" s="418"/>
      <c r="P207" s="418"/>
      <c r="Q207" s="418"/>
      <c r="R207" s="418"/>
      <c r="S207" s="418"/>
      <c r="T207" s="418"/>
      <c r="U207" s="418"/>
      <c r="V207" s="418"/>
      <c r="W207" s="418"/>
      <c r="X207" s="418"/>
      <c r="Y207" s="418"/>
      <c r="Z207" s="418"/>
      <c r="AA207" s="418"/>
      <c r="AB207" s="418"/>
      <c r="AC207" s="418"/>
    </row>
    <row r="208" spans="1:29" ht="14.25">
      <c r="A208" s="418"/>
      <c r="B208" s="418"/>
      <c r="C208" s="418"/>
      <c r="D208" s="418"/>
      <c r="E208" s="418"/>
      <c r="F208" s="418"/>
      <c r="G208" s="418"/>
      <c r="H208" s="418"/>
      <c r="I208" s="418"/>
      <c r="J208" s="418"/>
      <c r="K208" s="418"/>
      <c r="L208" s="418"/>
      <c r="M208" s="418"/>
      <c r="N208" s="418"/>
      <c r="O208" s="418"/>
      <c r="P208" s="418"/>
      <c r="Q208" s="418"/>
      <c r="R208" s="418"/>
      <c r="S208" s="418"/>
      <c r="T208" s="418"/>
      <c r="U208" s="418"/>
      <c r="V208" s="418"/>
      <c r="W208" s="418"/>
      <c r="X208" s="418"/>
      <c r="Y208" s="418"/>
      <c r="Z208" s="418"/>
      <c r="AA208" s="418"/>
      <c r="AB208" s="418"/>
      <c r="AC208" s="418"/>
    </row>
    <row r="209" spans="1:29" ht="14.25">
      <c r="A209" s="418"/>
      <c r="B209" s="418"/>
      <c r="C209" s="418"/>
      <c r="D209" s="418"/>
      <c r="E209" s="418"/>
      <c r="F209" s="418"/>
      <c r="G209" s="418"/>
      <c r="H209" s="418"/>
      <c r="I209" s="418"/>
      <c r="J209" s="418"/>
      <c r="K209" s="418"/>
      <c r="L209" s="418"/>
      <c r="M209" s="418"/>
      <c r="N209" s="418"/>
      <c r="O209" s="418"/>
      <c r="P209" s="418"/>
      <c r="Q209" s="418"/>
      <c r="R209" s="418"/>
      <c r="S209" s="418"/>
      <c r="T209" s="418"/>
      <c r="U209" s="418"/>
      <c r="V209" s="418"/>
      <c r="W209" s="418"/>
      <c r="X209" s="418"/>
      <c r="Y209" s="418"/>
      <c r="Z209" s="418"/>
      <c r="AA209" s="418"/>
      <c r="AB209" s="418"/>
      <c r="AC209" s="418"/>
    </row>
    <row r="210" spans="1:29" ht="14.25">
      <c r="A210" s="418"/>
      <c r="B210" s="418"/>
      <c r="C210" s="418"/>
      <c r="D210" s="418"/>
      <c r="E210" s="418"/>
      <c r="F210" s="418"/>
      <c r="G210" s="418"/>
      <c r="H210" s="418"/>
      <c r="I210" s="418"/>
      <c r="J210" s="418"/>
      <c r="K210" s="418"/>
      <c r="L210" s="418"/>
      <c r="M210" s="418"/>
      <c r="N210" s="418"/>
      <c r="O210" s="418"/>
      <c r="P210" s="418"/>
      <c r="Q210" s="418"/>
      <c r="R210" s="418"/>
      <c r="S210" s="418"/>
      <c r="T210" s="418"/>
      <c r="U210" s="418"/>
      <c r="V210" s="418"/>
      <c r="W210" s="418"/>
      <c r="X210" s="418"/>
      <c r="Y210" s="418"/>
      <c r="Z210" s="418"/>
      <c r="AA210" s="418"/>
      <c r="AB210" s="418"/>
      <c r="AC210" s="418"/>
    </row>
    <row r="211" spans="1:29" ht="14.25">
      <c r="A211" s="418"/>
      <c r="B211" s="418"/>
      <c r="C211" s="418"/>
      <c r="D211" s="418"/>
      <c r="E211" s="418"/>
      <c r="F211" s="418"/>
      <c r="G211" s="418"/>
      <c r="H211" s="418"/>
      <c r="I211" s="418"/>
      <c r="J211" s="418"/>
      <c r="K211" s="418"/>
      <c r="L211" s="418"/>
      <c r="M211" s="418"/>
      <c r="N211" s="418"/>
      <c r="O211" s="418"/>
      <c r="P211" s="418"/>
      <c r="Q211" s="418"/>
      <c r="R211" s="418"/>
      <c r="S211" s="418"/>
      <c r="T211" s="418"/>
      <c r="U211" s="418"/>
      <c r="V211" s="418"/>
      <c r="W211" s="418"/>
      <c r="X211" s="418"/>
      <c r="Y211" s="418"/>
      <c r="Z211" s="418"/>
      <c r="AA211" s="418"/>
      <c r="AB211" s="418"/>
      <c r="AC211" s="418"/>
    </row>
    <row r="212" spans="1:29" ht="14.25">
      <c r="A212" s="418"/>
      <c r="B212" s="418"/>
      <c r="C212" s="418"/>
      <c r="D212" s="418"/>
      <c r="E212" s="418"/>
      <c r="F212" s="418"/>
      <c r="G212" s="418"/>
      <c r="H212" s="418"/>
      <c r="I212" s="418"/>
      <c r="J212" s="418"/>
      <c r="K212" s="418"/>
      <c r="L212" s="418"/>
      <c r="M212" s="418"/>
      <c r="N212" s="418"/>
      <c r="O212" s="418"/>
      <c r="P212" s="418"/>
      <c r="Q212" s="418"/>
      <c r="R212" s="418"/>
      <c r="S212" s="418"/>
      <c r="T212" s="418"/>
      <c r="U212" s="418"/>
      <c r="V212" s="418"/>
      <c r="W212" s="418"/>
      <c r="X212" s="418"/>
      <c r="Y212" s="418"/>
      <c r="Z212" s="418"/>
      <c r="AA212" s="418"/>
      <c r="AB212" s="418"/>
      <c r="AC212" s="418"/>
    </row>
    <row r="213" spans="1:29" ht="14.25">
      <c r="A213" s="418"/>
      <c r="B213" s="418"/>
      <c r="C213" s="418"/>
      <c r="D213" s="418"/>
      <c r="E213" s="418"/>
      <c r="F213" s="418"/>
      <c r="G213" s="418"/>
      <c r="H213" s="418"/>
      <c r="I213" s="418"/>
      <c r="J213" s="418"/>
      <c r="K213" s="418"/>
      <c r="L213" s="418"/>
      <c r="M213" s="418"/>
      <c r="N213" s="418"/>
      <c r="O213" s="418"/>
      <c r="P213" s="418"/>
      <c r="Q213" s="418"/>
      <c r="R213" s="418"/>
      <c r="S213" s="418"/>
      <c r="T213" s="418"/>
      <c r="U213" s="418"/>
      <c r="V213" s="418"/>
      <c r="W213" s="418"/>
      <c r="X213" s="418"/>
      <c r="Y213" s="418"/>
      <c r="Z213" s="418"/>
      <c r="AA213" s="418"/>
      <c r="AB213" s="418"/>
      <c r="AC213" s="418"/>
    </row>
    <row r="214" spans="1:29" ht="14.25">
      <c r="A214" s="418"/>
      <c r="B214" s="418"/>
      <c r="C214" s="418"/>
      <c r="D214" s="418"/>
      <c r="E214" s="418"/>
      <c r="F214" s="418"/>
      <c r="G214" s="418"/>
      <c r="H214" s="418"/>
      <c r="I214" s="418"/>
      <c r="J214" s="418"/>
      <c r="K214" s="418"/>
      <c r="L214" s="418"/>
      <c r="M214" s="418"/>
      <c r="N214" s="418"/>
      <c r="O214" s="418"/>
      <c r="P214" s="418"/>
      <c r="Q214" s="418"/>
      <c r="R214" s="418"/>
      <c r="S214" s="418"/>
      <c r="T214" s="418"/>
      <c r="U214" s="418"/>
      <c r="V214" s="418"/>
      <c r="W214" s="418"/>
      <c r="X214" s="418"/>
      <c r="Y214" s="418"/>
      <c r="Z214" s="418"/>
      <c r="AA214" s="418"/>
      <c r="AB214" s="418"/>
      <c r="AC214" s="418"/>
    </row>
    <row r="215" spans="1:29" ht="14.25">
      <c r="A215" s="418"/>
      <c r="B215" s="418"/>
      <c r="C215" s="418"/>
      <c r="D215" s="418"/>
      <c r="E215" s="418"/>
      <c r="F215" s="418"/>
      <c r="G215" s="418"/>
      <c r="H215" s="418"/>
      <c r="I215" s="418"/>
      <c r="J215" s="418"/>
      <c r="K215" s="418"/>
      <c r="L215" s="418"/>
      <c r="M215" s="418"/>
      <c r="N215" s="418"/>
      <c r="O215" s="418"/>
      <c r="P215" s="418"/>
      <c r="Q215" s="418"/>
      <c r="R215" s="418"/>
      <c r="S215" s="418"/>
      <c r="T215" s="418"/>
      <c r="U215" s="418"/>
      <c r="V215" s="418"/>
      <c r="W215" s="418"/>
      <c r="X215" s="418"/>
      <c r="Y215" s="418"/>
      <c r="Z215" s="418"/>
      <c r="AA215" s="418"/>
      <c r="AB215" s="418"/>
      <c r="AC215" s="418"/>
    </row>
    <row r="216" spans="1:29" ht="14.25">
      <c r="A216" s="418"/>
      <c r="B216" s="418"/>
      <c r="C216" s="418"/>
      <c r="D216" s="418"/>
      <c r="E216" s="418"/>
      <c r="F216" s="418"/>
      <c r="G216" s="418"/>
      <c r="H216" s="418"/>
      <c r="I216" s="418"/>
      <c r="J216" s="418"/>
      <c r="K216" s="418"/>
      <c r="L216" s="418"/>
      <c r="M216" s="418"/>
      <c r="N216" s="418"/>
      <c r="O216" s="418"/>
      <c r="P216" s="418"/>
      <c r="Q216" s="418"/>
      <c r="R216" s="418"/>
      <c r="S216" s="418"/>
      <c r="T216" s="418"/>
      <c r="U216" s="418"/>
      <c r="V216" s="418"/>
      <c r="W216" s="418"/>
      <c r="X216" s="418"/>
      <c r="Y216" s="418"/>
      <c r="Z216" s="418"/>
      <c r="AA216" s="418"/>
      <c r="AB216" s="418"/>
      <c r="AC216" s="418"/>
    </row>
    <row r="217" spans="1:29" ht="14.25">
      <c r="A217" s="418"/>
      <c r="B217" s="418"/>
      <c r="C217" s="418"/>
      <c r="D217" s="418"/>
      <c r="E217" s="418"/>
      <c r="F217" s="418"/>
      <c r="G217" s="418"/>
      <c r="H217" s="418"/>
      <c r="I217" s="418"/>
      <c r="J217" s="418"/>
      <c r="K217" s="418"/>
      <c r="L217" s="418"/>
      <c r="M217" s="418"/>
      <c r="N217" s="418"/>
      <c r="O217" s="418"/>
      <c r="P217" s="418"/>
      <c r="Q217" s="418"/>
      <c r="R217" s="418"/>
      <c r="S217" s="418"/>
      <c r="T217" s="418"/>
      <c r="U217" s="418"/>
      <c r="V217" s="418"/>
      <c r="W217" s="418"/>
      <c r="X217" s="418"/>
      <c r="Y217" s="418"/>
      <c r="Z217" s="418"/>
      <c r="AA217" s="418"/>
      <c r="AB217" s="418"/>
      <c r="AC217" s="418"/>
    </row>
    <row r="218" spans="1:29" ht="14.25">
      <c r="A218" s="418"/>
      <c r="B218" s="418"/>
      <c r="C218" s="418"/>
      <c r="D218" s="418"/>
      <c r="E218" s="418"/>
      <c r="F218" s="418"/>
      <c r="G218" s="418"/>
      <c r="H218" s="418"/>
      <c r="I218" s="418"/>
      <c r="J218" s="418"/>
      <c r="K218" s="418"/>
      <c r="L218" s="418"/>
      <c r="M218" s="418"/>
      <c r="N218" s="418"/>
      <c r="O218" s="418"/>
      <c r="P218" s="418"/>
      <c r="Q218" s="418"/>
      <c r="R218" s="418"/>
      <c r="S218" s="418"/>
      <c r="T218" s="418"/>
      <c r="U218" s="418"/>
      <c r="V218" s="418"/>
      <c r="W218" s="418"/>
      <c r="X218" s="418"/>
      <c r="Y218" s="418"/>
      <c r="Z218" s="418"/>
      <c r="AA218" s="418"/>
      <c r="AB218" s="418"/>
      <c r="AC218" s="418"/>
    </row>
    <row r="219" spans="1:29" ht="14.25">
      <c r="A219" s="418"/>
      <c r="B219" s="418"/>
      <c r="C219" s="418"/>
      <c r="D219" s="418"/>
      <c r="E219" s="418"/>
      <c r="F219" s="418"/>
      <c r="G219" s="418"/>
      <c r="H219" s="418"/>
      <c r="I219" s="418"/>
      <c r="J219" s="418"/>
      <c r="K219" s="418"/>
      <c r="L219" s="418"/>
      <c r="M219" s="418"/>
      <c r="N219" s="418"/>
      <c r="O219" s="418"/>
      <c r="P219" s="418"/>
      <c r="Q219" s="418"/>
      <c r="R219" s="418"/>
      <c r="S219" s="418"/>
      <c r="T219" s="418"/>
      <c r="U219" s="418"/>
      <c r="V219" s="418"/>
      <c r="W219" s="418"/>
      <c r="X219" s="418"/>
      <c r="Y219" s="418"/>
      <c r="Z219" s="418"/>
      <c r="AA219" s="418"/>
      <c r="AB219" s="418"/>
      <c r="AC219" s="418"/>
    </row>
    <row r="220" spans="1:29" ht="14.25">
      <c r="A220" s="418"/>
      <c r="B220" s="418"/>
      <c r="C220" s="418"/>
      <c r="D220" s="418"/>
      <c r="E220" s="418"/>
      <c r="F220" s="418"/>
      <c r="G220" s="418"/>
      <c r="H220" s="418"/>
      <c r="I220" s="418"/>
      <c r="J220" s="418"/>
      <c r="K220" s="418"/>
      <c r="L220" s="418"/>
      <c r="M220" s="418"/>
      <c r="N220" s="418"/>
      <c r="O220" s="418"/>
      <c r="P220" s="418"/>
      <c r="Q220" s="418"/>
      <c r="R220" s="418"/>
      <c r="S220" s="418"/>
      <c r="T220" s="418"/>
      <c r="U220" s="418"/>
      <c r="V220" s="418"/>
      <c r="W220" s="418"/>
      <c r="X220" s="418"/>
      <c r="Y220" s="418"/>
      <c r="Z220" s="418"/>
      <c r="AA220" s="418"/>
      <c r="AB220" s="418"/>
      <c r="AC220" s="418"/>
    </row>
    <row r="221" spans="1:29" ht="14.25">
      <c r="A221" s="418"/>
      <c r="B221" s="418"/>
      <c r="C221" s="418"/>
      <c r="D221" s="418"/>
      <c r="E221" s="418"/>
      <c r="F221" s="418"/>
      <c r="G221" s="418"/>
      <c r="H221" s="418"/>
      <c r="I221" s="418"/>
      <c r="J221" s="418"/>
      <c r="K221" s="418"/>
      <c r="L221" s="418"/>
      <c r="M221" s="418"/>
      <c r="N221" s="418"/>
      <c r="O221" s="418"/>
      <c r="P221" s="418"/>
      <c r="Q221" s="418"/>
      <c r="R221" s="418"/>
      <c r="S221" s="418"/>
      <c r="T221" s="418"/>
      <c r="U221" s="418"/>
      <c r="V221" s="418"/>
      <c r="W221" s="418"/>
      <c r="X221" s="418"/>
      <c r="Y221" s="418"/>
      <c r="Z221" s="418"/>
      <c r="AA221" s="418"/>
      <c r="AB221" s="418"/>
      <c r="AC221" s="418"/>
    </row>
    <row r="222" spans="1:29" ht="14.25">
      <c r="A222" s="418"/>
      <c r="B222" s="418"/>
      <c r="C222" s="418"/>
      <c r="D222" s="418"/>
      <c r="E222" s="418"/>
      <c r="F222" s="418"/>
      <c r="G222" s="418"/>
      <c r="H222" s="418"/>
      <c r="I222" s="418"/>
      <c r="J222" s="418"/>
      <c r="K222" s="418"/>
      <c r="L222" s="418"/>
      <c r="M222" s="418"/>
      <c r="N222" s="418"/>
      <c r="O222" s="418"/>
      <c r="P222" s="418"/>
      <c r="Q222" s="418"/>
      <c r="R222" s="418"/>
      <c r="S222" s="418"/>
      <c r="T222" s="418"/>
      <c r="U222" s="418"/>
      <c r="V222" s="418"/>
      <c r="W222" s="418"/>
      <c r="X222" s="418"/>
      <c r="Y222" s="418"/>
      <c r="Z222" s="418"/>
      <c r="AA222" s="418"/>
      <c r="AB222" s="418"/>
      <c r="AC222" s="418"/>
    </row>
    <row r="223" spans="1:29" ht="14.25">
      <c r="A223" s="418"/>
      <c r="B223" s="418"/>
      <c r="C223" s="418"/>
      <c r="D223" s="418"/>
      <c r="E223" s="418"/>
      <c r="F223" s="418"/>
      <c r="G223" s="418"/>
      <c r="H223" s="418"/>
      <c r="I223" s="418"/>
      <c r="J223" s="418"/>
      <c r="K223" s="418"/>
      <c r="L223" s="418"/>
      <c r="M223" s="418"/>
      <c r="N223" s="418"/>
      <c r="O223" s="418"/>
      <c r="P223" s="418"/>
      <c r="Q223" s="418"/>
      <c r="R223" s="418"/>
      <c r="S223" s="418"/>
      <c r="T223" s="418"/>
      <c r="U223" s="418"/>
      <c r="V223" s="418"/>
      <c r="W223" s="418"/>
      <c r="X223" s="418"/>
      <c r="Y223" s="418"/>
      <c r="Z223" s="418"/>
      <c r="AA223" s="418"/>
      <c r="AB223" s="418"/>
      <c r="AC223" s="418"/>
    </row>
    <row r="224" spans="1:29" ht="14.25">
      <c r="A224" s="418"/>
      <c r="B224" s="418"/>
      <c r="C224" s="418"/>
      <c r="D224" s="418"/>
      <c r="E224" s="418"/>
      <c r="F224" s="418"/>
      <c r="G224" s="418"/>
      <c r="H224" s="418"/>
      <c r="I224" s="418"/>
      <c r="J224" s="418"/>
      <c r="K224" s="418"/>
      <c r="L224" s="418"/>
      <c r="M224" s="418"/>
      <c r="N224" s="418"/>
      <c r="O224" s="418"/>
      <c r="P224" s="418"/>
      <c r="Q224" s="418"/>
      <c r="R224" s="418"/>
      <c r="S224" s="418"/>
      <c r="T224" s="418"/>
      <c r="U224" s="418"/>
      <c r="V224" s="418"/>
      <c r="W224" s="418"/>
      <c r="X224" s="418"/>
      <c r="Y224" s="418"/>
      <c r="Z224" s="418"/>
      <c r="AA224" s="418"/>
      <c r="AB224" s="418"/>
      <c r="AC224" s="418"/>
    </row>
    <row r="225" spans="1:29" ht="14.25">
      <c r="A225" s="418"/>
      <c r="B225" s="418"/>
      <c r="C225" s="418"/>
      <c r="D225" s="418"/>
      <c r="E225" s="418"/>
      <c r="F225" s="418"/>
      <c r="G225" s="418"/>
      <c r="H225" s="418"/>
      <c r="I225" s="418"/>
      <c r="J225" s="418"/>
      <c r="K225" s="418"/>
      <c r="L225" s="418"/>
      <c r="M225" s="418"/>
      <c r="N225" s="418"/>
      <c r="O225" s="418"/>
      <c r="P225" s="418"/>
      <c r="Q225" s="418"/>
      <c r="R225" s="418"/>
      <c r="S225" s="418"/>
      <c r="T225" s="418"/>
      <c r="U225" s="418"/>
      <c r="V225" s="418"/>
      <c r="W225" s="418"/>
      <c r="X225" s="418"/>
      <c r="Y225" s="418"/>
      <c r="Z225" s="418"/>
      <c r="AA225" s="418"/>
      <c r="AB225" s="418"/>
      <c r="AC225" s="418"/>
    </row>
    <row r="226" spans="1:29" ht="14.25">
      <c r="A226" s="418"/>
      <c r="B226" s="418"/>
      <c r="C226" s="418"/>
      <c r="D226" s="418"/>
      <c r="E226" s="418"/>
      <c r="F226" s="418"/>
      <c r="G226" s="418"/>
      <c r="H226" s="418"/>
      <c r="I226" s="418"/>
      <c r="J226" s="418"/>
      <c r="K226" s="418"/>
      <c r="L226" s="418"/>
      <c r="M226" s="418"/>
      <c r="N226" s="418"/>
      <c r="O226" s="418"/>
      <c r="P226" s="418"/>
      <c r="Q226" s="418"/>
      <c r="R226" s="418"/>
      <c r="S226" s="418"/>
      <c r="T226" s="418"/>
      <c r="U226" s="418"/>
      <c r="V226" s="418"/>
      <c r="W226" s="418"/>
      <c r="X226" s="418"/>
      <c r="Y226" s="418"/>
      <c r="Z226" s="418"/>
      <c r="AA226" s="418"/>
      <c r="AB226" s="418"/>
      <c r="AC226" s="418"/>
    </row>
    <row r="227" spans="1:29" ht="14.25">
      <c r="A227" s="418"/>
      <c r="B227" s="418"/>
      <c r="C227" s="418"/>
      <c r="D227" s="418"/>
      <c r="E227" s="418"/>
      <c r="F227" s="418"/>
      <c r="G227" s="418"/>
      <c r="H227" s="418"/>
      <c r="I227" s="418"/>
      <c r="J227" s="418"/>
      <c r="K227" s="418"/>
      <c r="L227" s="418"/>
      <c r="M227" s="418"/>
      <c r="N227" s="418"/>
      <c r="O227" s="418"/>
      <c r="P227" s="418"/>
      <c r="Q227" s="418"/>
      <c r="R227" s="418"/>
      <c r="S227" s="418"/>
      <c r="T227" s="418"/>
      <c r="U227" s="418"/>
      <c r="V227" s="418"/>
      <c r="W227" s="418"/>
      <c r="X227" s="418"/>
      <c r="Y227" s="418"/>
      <c r="Z227" s="418"/>
      <c r="AA227" s="418"/>
      <c r="AB227" s="418"/>
      <c r="AC227" s="418"/>
    </row>
    <row r="228" spans="1:29" ht="14.25">
      <c r="A228" s="418"/>
      <c r="B228" s="418"/>
      <c r="C228" s="418"/>
      <c r="D228" s="418"/>
      <c r="E228" s="418"/>
      <c r="F228" s="418"/>
      <c r="G228" s="418"/>
      <c r="H228" s="418"/>
      <c r="I228" s="418"/>
      <c r="J228" s="418"/>
      <c r="K228" s="418"/>
      <c r="L228" s="418"/>
      <c r="M228" s="418"/>
      <c r="N228" s="418"/>
      <c r="O228" s="418"/>
      <c r="P228" s="418"/>
      <c r="Q228" s="418"/>
      <c r="R228" s="418"/>
      <c r="S228" s="418"/>
      <c r="T228" s="418"/>
      <c r="U228" s="418"/>
      <c r="V228" s="418"/>
      <c r="W228" s="418"/>
      <c r="X228" s="418"/>
      <c r="Y228" s="418"/>
      <c r="Z228" s="418"/>
      <c r="AA228" s="418"/>
      <c r="AB228" s="418"/>
      <c r="AC228" s="418"/>
    </row>
    <row r="229" spans="1:29" ht="14.25">
      <c r="A229" s="418"/>
      <c r="B229" s="418"/>
      <c r="C229" s="418"/>
      <c r="D229" s="418"/>
      <c r="E229" s="418"/>
      <c r="F229" s="418"/>
      <c r="G229" s="418"/>
      <c r="H229" s="418"/>
      <c r="I229" s="418"/>
      <c r="J229" s="418"/>
      <c r="K229" s="418"/>
      <c r="L229" s="418"/>
      <c r="M229" s="418"/>
      <c r="N229" s="418"/>
      <c r="O229" s="418"/>
      <c r="P229" s="418"/>
      <c r="Q229" s="418"/>
      <c r="R229" s="418"/>
      <c r="S229" s="418"/>
      <c r="T229" s="418"/>
      <c r="U229" s="418"/>
      <c r="V229" s="418"/>
      <c r="W229" s="418"/>
      <c r="X229" s="418"/>
      <c r="Y229" s="418"/>
      <c r="Z229" s="418"/>
      <c r="AA229" s="418"/>
      <c r="AB229" s="418"/>
      <c r="AC229" s="418"/>
    </row>
  </sheetData>
  <mergeCells count="4">
    <mergeCell ref="AA1:AC1"/>
    <mergeCell ref="A3:AC3"/>
    <mergeCell ref="A7:C7"/>
    <mergeCell ref="A88:C88"/>
  </mergeCells>
  <printOptions horizontalCentered="1"/>
  <pageMargins left="0.7875" right="0.7875" top="0.7875" bottom="0.7875" header="0.5118055555555556" footer="0.5118055555555556"/>
  <pageSetup cellComments="atEnd" fitToHeight="2" fitToWidth="1" horizontalDpi="300" verticalDpi="3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5"/>
  <sheetViews>
    <sheetView workbookViewId="0" topLeftCell="A50">
      <selection activeCell="E130" sqref="E130"/>
    </sheetView>
  </sheetViews>
  <sheetFormatPr defaultColWidth="9.140625" defaultRowHeight="12.75"/>
  <cols>
    <col min="1" max="1" width="28.57421875" style="1" customWidth="1"/>
    <col min="2" max="2" width="15.28125" style="1" customWidth="1"/>
    <col min="3" max="3" width="9.8515625" style="1" customWidth="1"/>
    <col min="4" max="4" width="8.28125" style="1" customWidth="1"/>
    <col min="5" max="5" width="8.7109375" style="1" customWidth="1"/>
    <col min="6" max="8" width="8.140625" style="1" customWidth="1"/>
    <col min="9" max="10" width="8.7109375" style="1" customWidth="1"/>
    <col min="11" max="11" width="9.140625" style="1" customWidth="1"/>
    <col min="12" max="12" width="9.8515625" style="1" customWidth="1"/>
    <col min="13" max="13" width="9.140625" style="1" customWidth="1"/>
    <col min="14" max="14" width="9.8515625" style="1" customWidth="1"/>
    <col min="15" max="15" width="10.00390625" style="1" customWidth="1"/>
    <col min="16" max="17" width="9.28125" style="1" customWidth="1"/>
    <col min="18" max="19" width="8.140625" style="1" customWidth="1"/>
    <col min="20" max="21" width="8.7109375" style="1" customWidth="1"/>
    <col min="22" max="16384" width="9.140625" style="1" customWidth="1"/>
  </cols>
  <sheetData>
    <row r="1" spans="1:22" ht="14.2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U1" s="1073" t="s">
        <v>1571</v>
      </c>
      <c r="V1" s="1073"/>
    </row>
    <row r="2" spans="1:21" ht="14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1:22" ht="15">
      <c r="A3" s="1070" t="s">
        <v>1572</v>
      </c>
      <c r="B3" s="1070"/>
      <c r="C3" s="1070"/>
      <c r="D3" s="1070"/>
      <c r="E3" s="1070"/>
      <c r="F3" s="1070"/>
      <c r="G3" s="1070"/>
      <c r="H3" s="1070"/>
      <c r="I3" s="1070"/>
      <c r="J3" s="1070"/>
      <c r="K3" s="1070"/>
      <c r="L3" s="1070"/>
      <c r="M3" s="1070"/>
      <c r="N3" s="1070"/>
      <c r="O3" s="1070"/>
      <c r="P3" s="1070"/>
      <c r="Q3" s="1070"/>
      <c r="R3" s="1070"/>
      <c r="S3" s="1070"/>
      <c r="T3" s="1070"/>
      <c r="U3" s="1070"/>
      <c r="V3" s="1070"/>
    </row>
    <row r="4" spans="1:22" ht="15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</row>
    <row r="5" spans="1:22" ht="15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6" t="s">
        <v>1305</v>
      </c>
    </row>
    <row r="6" spans="1:22" ht="14.25">
      <c r="A6" s="1071" t="s">
        <v>960</v>
      </c>
      <c r="B6" s="1071"/>
      <c r="C6" s="269" t="s">
        <v>961</v>
      </c>
      <c r="D6" s="269" t="s">
        <v>962</v>
      </c>
      <c r="E6" s="269" t="s">
        <v>963</v>
      </c>
      <c r="F6" s="269" t="s">
        <v>964</v>
      </c>
      <c r="G6" s="269" t="s">
        <v>965</v>
      </c>
      <c r="H6" s="269" t="s">
        <v>966</v>
      </c>
      <c r="I6" s="269" t="s">
        <v>967</v>
      </c>
      <c r="J6" s="269" t="s">
        <v>968</v>
      </c>
      <c r="K6" s="269" t="s">
        <v>969</v>
      </c>
      <c r="L6" s="269" t="s">
        <v>970</v>
      </c>
      <c r="M6" s="269" t="s">
        <v>971</v>
      </c>
      <c r="N6" s="269" t="s">
        <v>972</v>
      </c>
      <c r="O6" s="269" t="s">
        <v>973</v>
      </c>
      <c r="P6" s="269" t="s">
        <v>1480</v>
      </c>
      <c r="Q6" s="269" t="s">
        <v>1481</v>
      </c>
      <c r="R6" s="269" t="s">
        <v>1482</v>
      </c>
      <c r="S6" s="269" t="s">
        <v>1483</v>
      </c>
      <c r="T6" s="269" t="s">
        <v>1484</v>
      </c>
      <c r="U6" s="269" t="s">
        <v>1486</v>
      </c>
      <c r="V6" s="10" t="s">
        <v>1487</v>
      </c>
    </row>
    <row r="7" spans="1:22" ht="14.25">
      <c r="A7" s="272" t="s">
        <v>1492</v>
      </c>
      <c r="B7" s="259"/>
      <c r="C7" s="271" t="s">
        <v>1406</v>
      </c>
      <c r="D7" s="259" t="s">
        <v>1493</v>
      </c>
      <c r="E7" s="259"/>
      <c r="F7" s="259"/>
      <c r="G7" s="259"/>
      <c r="H7" s="259"/>
      <c r="I7" s="259"/>
      <c r="J7" s="259"/>
      <c r="K7" s="259"/>
      <c r="L7" s="259"/>
      <c r="M7" s="259"/>
      <c r="N7" s="271" t="s">
        <v>1406</v>
      </c>
      <c r="O7" s="259" t="s">
        <v>1494</v>
      </c>
      <c r="P7" s="259"/>
      <c r="Q7" s="259"/>
      <c r="R7" s="259"/>
      <c r="S7" s="259"/>
      <c r="T7" s="259"/>
      <c r="U7" s="259"/>
      <c r="V7" s="476"/>
    </row>
    <row r="8" spans="1:22" ht="14.25">
      <c r="A8" s="274"/>
      <c r="B8" s="136"/>
      <c r="C8" s="275" t="s">
        <v>1408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275" t="s">
        <v>1410</v>
      </c>
      <c r="O8" s="277"/>
      <c r="P8" s="277"/>
      <c r="Q8" s="277"/>
      <c r="R8" s="277"/>
      <c r="S8" s="277"/>
      <c r="T8" s="277"/>
      <c r="U8" s="277"/>
      <c r="V8" s="477"/>
    </row>
    <row r="9" spans="1:22" ht="14.25">
      <c r="A9" s="274"/>
      <c r="B9" s="136"/>
      <c r="C9" s="275" t="s">
        <v>1407</v>
      </c>
      <c r="D9" s="478" t="s">
        <v>1573</v>
      </c>
      <c r="E9" s="479" t="s">
        <v>1573</v>
      </c>
      <c r="F9" s="479" t="s">
        <v>1497</v>
      </c>
      <c r="G9" s="479" t="s">
        <v>1574</v>
      </c>
      <c r="H9" s="479" t="s">
        <v>1573</v>
      </c>
      <c r="I9" s="479" t="s">
        <v>1575</v>
      </c>
      <c r="J9" s="479" t="s">
        <v>1496</v>
      </c>
      <c r="K9" s="479" t="s">
        <v>1406</v>
      </c>
      <c r="L9" s="479" t="s">
        <v>1576</v>
      </c>
      <c r="M9" s="478" t="s">
        <v>1406</v>
      </c>
      <c r="N9" s="275" t="s">
        <v>1409</v>
      </c>
      <c r="O9" s="480" t="s">
        <v>1577</v>
      </c>
      <c r="P9" s="479" t="s">
        <v>1578</v>
      </c>
      <c r="Q9" s="479" t="s">
        <v>1406</v>
      </c>
      <c r="R9" s="479" t="s">
        <v>1406</v>
      </c>
      <c r="S9" s="479" t="s">
        <v>1406</v>
      </c>
      <c r="T9" s="479" t="s">
        <v>1579</v>
      </c>
      <c r="U9" s="481" t="s">
        <v>1406</v>
      </c>
      <c r="V9" s="482" t="s">
        <v>1406</v>
      </c>
    </row>
    <row r="10" spans="1:22" ht="14.25">
      <c r="A10" s="274"/>
      <c r="B10" s="136"/>
      <c r="C10" s="275" t="s">
        <v>1404</v>
      </c>
      <c r="D10" s="483" t="s">
        <v>1580</v>
      </c>
      <c r="E10" s="484" t="s">
        <v>1580</v>
      </c>
      <c r="F10" s="484" t="s">
        <v>1581</v>
      </c>
      <c r="G10" s="484" t="s">
        <v>1582</v>
      </c>
      <c r="H10" s="484" t="s">
        <v>1583</v>
      </c>
      <c r="I10" s="484" t="s">
        <v>1584</v>
      </c>
      <c r="J10" s="484" t="s">
        <v>1513</v>
      </c>
      <c r="K10" s="484" t="s">
        <v>1583</v>
      </c>
      <c r="L10" s="484" t="s">
        <v>1585</v>
      </c>
      <c r="M10" s="483" t="s">
        <v>1583</v>
      </c>
      <c r="N10" s="275" t="s">
        <v>1404</v>
      </c>
      <c r="O10" s="485" t="s">
        <v>1586</v>
      </c>
      <c r="P10" s="484" t="s">
        <v>1410</v>
      </c>
      <c r="Q10" s="484" t="s">
        <v>1583</v>
      </c>
      <c r="R10" s="484" t="s">
        <v>1583</v>
      </c>
      <c r="S10" s="484" t="s">
        <v>1583</v>
      </c>
      <c r="T10" s="484" t="s">
        <v>1587</v>
      </c>
      <c r="U10" s="481" t="s">
        <v>1410</v>
      </c>
      <c r="V10" s="486" t="s">
        <v>1408</v>
      </c>
    </row>
    <row r="11" spans="1:22" ht="14.25">
      <c r="A11" s="274"/>
      <c r="B11" s="136"/>
      <c r="C11" s="275"/>
      <c r="D11" s="483" t="s">
        <v>1588</v>
      </c>
      <c r="E11" s="484" t="s">
        <v>1589</v>
      </c>
      <c r="F11" s="484" t="s">
        <v>1545</v>
      </c>
      <c r="G11" s="484" t="s">
        <v>1590</v>
      </c>
      <c r="H11" s="484" t="s">
        <v>1591</v>
      </c>
      <c r="I11" s="484" t="s">
        <v>1592</v>
      </c>
      <c r="J11" s="484" t="s">
        <v>1533</v>
      </c>
      <c r="K11" s="484" t="s">
        <v>1517</v>
      </c>
      <c r="L11" s="484" t="s">
        <v>1593</v>
      </c>
      <c r="M11" s="483" t="s">
        <v>1594</v>
      </c>
      <c r="N11" s="275"/>
      <c r="O11" s="485" t="s">
        <v>1397</v>
      </c>
      <c r="P11" s="484" t="s">
        <v>1409</v>
      </c>
      <c r="Q11" s="484" t="s">
        <v>1547</v>
      </c>
      <c r="R11" s="484" t="s">
        <v>1595</v>
      </c>
      <c r="S11" s="484" t="s">
        <v>1594</v>
      </c>
      <c r="T11" s="484" t="s">
        <v>1596</v>
      </c>
      <c r="U11" s="481" t="s">
        <v>1529</v>
      </c>
      <c r="V11" s="486" t="s">
        <v>1597</v>
      </c>
    </row>
    <row r="12" spans="1:22" ht="14.25">
      <c r="A12" s="274"/>
      <c r="B12" s="136"/>
      <c r="C12" s="275"/>
      <c r="D12" s="483" t="s">
        <v>1598</v>
      </c>
      <c r="E12" s="484" t="s">
        <v>1534</v>
      </c>
      <c r="F12" s="484" t="s">
        <v>1559</v>
      </c>
      <c r="G12" s="484" t="s">
        <v>1599</v>
      </c>
      <c r="H12" s="484" t="s">
        <v>1600</v>
      </c>
      <c r="I12" s="484" t="s">
        <v>1601</v>
      </c>
      <c r="J12" s="484" t="s">
        <v>1546</v>
      </c>
      <c r="K12" s="484" t="s">
        <v>1535</v>
      </c>
      <c r="L12" s="484" t="s">
        <v>1602</v>
      </c>
      <c r="M12" s="483" t="s">
        <v>1603</v>
      </c>
      <c r="N12" s="275"/>
      <c r="O12" s="485"/>
      <c r="P12" s="484" t="s">
        <v>1586</v>
      </c>
      <c r="Q12" s="484" t="s">
        <v>1604</v>
      </c>
      <c r="R12" s="484" t="s">
        <v>1605</v>
      </c>
      <c r="S12" s="484" t="s">
        <v>1606</v>
      </c>
      <c r="T12" s="484"/>
      <c r="U12" s="481" t="s">
        <v>1607</v>
      </c>
      <c r="V12" s="486" t="s">
        <v>1565</v>
      </c>
    </row>
    <row r="13" spans="1:22" ht="14.25">
      <c r="A13" s="274"/>
      <c r="B13" s="136"/>
      <c r="C13" s="275"/>
      <c r="D13" s="483" t="s">
        <v>1608</v>
      </c>
      <c r="E13" s="484" t="s">
        <v>1547</v>
      </c>
      <c r="F13" s="484" t="s">
        <v>1563</v>
      </c>
      <c r="G13" s="484" t="s">
        <v>1609</v>
      </c>
      <c r="H13" s="484" t="s">
        <v>1610</v>
      </c>
      <c r="I13" s="484" t="s">
        <v>1580</v>
      </c>
      <c r="J13" s="484" t="s">
        <v>1560</v>
      </c>
      <c r="K13" s="484"/>
      <c r="L13" s="484" t="s">
        <v>1611</v>
      </c>
      <c r="M13" s="483"/>
      <c r="N13" s="275"/>
      <c r="O13" s="485"/>
      <c r="P13" s="484"/>
      <c r="Q13" s="484"/>
      <c r="R13" s="484" t="s">
        <v>1612</v>
      </c>
      <c r="S13" s="484"/>
      <c r="T13" s="484"/>
      <c r="U13" s="481"/>
      <c r="V13" s="179"/>
    </row>
    <row r="14" spans="1:22" ht="14.25">
      <c r="A14" s="276"/>
      <c r="B14" s="277"/>
      <c r="C14" s="282"/>
      <c r="D14" s="487" t="s">
        <v>1613</v>
      </c>
      <c r="E14" s="488" t="s">
        <v>1561</v>
      </c>
      <c r="F14" s="487"/>
      <c r="G14" s="487"/>
      <c r="H14" s="487"/>
      <c r="I14" s="488" t="s">
        <v>1614</v>
      </c>
      <c r="J14" s="488" t="s">
        <v>1567</v>
      </c>
      <c r="K14" s="488"/>
      <c r="L14" s="487"/>
      <c r="M14" s="487"/>
      <c r="N14" s="282"/>
      <c r="O14" s="489"/>
      <c r="P14" s="488"/>
      <c r="Q14" s="488"/>
      <c r="R14" s="488"/>
      <c r="S14" s="488"/>
      <c r="T14" s="488"/>
      <c r="U14" s="490"/>
      <c r="V14" s="175"/>
    </row>
    <row r="15" spans="1:22" ht="14.25">
      <c r="A15" s="491" t="s">
        <v>1411</v>
      </c>
      <c r="B15" s="268"/>
      <c r="C15" s="492"/>
      <c r="D15" s="368"/>
      <c r="E15" s="369"/>
      <c r="F15" s="369"/>
      <c r="G15" s="369"/>
      <c r="H15" s="369"/>
      <c r="I15" s="369"/>
      <c r="J15" s="369"/>
      <c r="K15" s="369"/>
      <c r="L15" s="369"/>
      <c r="M15" s="370"/>
      <c r="N15" s="492"/>
      <c r="O15" s="367"/>
      <c r="P15" s="369"/>
      <c r="Q15" s="369"/>
      <c r="R15" s="369"/>
      <c r="S15" s="369"/>
      <c r="T15" s="369"/>
      <c r="U15" s="369"/>
      <c r="V15" s="493"/>
    </row>
    <row r="16" spans="1:22" ht="14.25">
      <c r="A16" s="316" t="s">
        <v>1086</v>
      </c>
      <c r="B16" s="136" t="s">
        <v>1084</v>
      </c>
      <c r="C16" s="494"/>
      <c r="D16" s="374"/>
      <c r="E16" s="375"/>
      <c r="F16" s="375"/>
      <c r="G16" s="375"/>
      <c r="H16" s="375"/>
      <c r="I16" s="375"/>
      <c r="J16" s="375"/>
      <c r="K16" s="375"/>
      <c r="L16" s="375"/>
      <c r="M16" s="376"/>
      <c r="N16" s="494"/>
      <c r="O16" s="373"/>
      <c r="P16" s="375"/>
      <c r="Q16" s="375"/>
      <c r="R16" s="375"/>
      <c r="S16" s="375"/>
      <c r="T16" s="375"/>
      <c r="U16" s="375"/>
      <c r="V16" s="381"/>
    </row>
    <row r="17" spans="1:22" ht="14.25">
      <c r="A17" s="252" t="s">
        <v>1088</v>
      </c>
      <c r="B17" s="136" t="s">
        <v>978</v>
      </c>
      <c r="C17" s="495">
        <f>SUM(D17:M17)</f>
        <v>950</v>
      </c>
      <c r="D17" s="374"/>
      <c r="E17" s="375"/>
      <c r="F17" s="496">
        <v>950</v>
      </c>
      <c r="G17" s="375"/>
      <c r="H17" s="375"/>
      <c r="I17" s="375"/>
      <c r="J17" s="375"/>
      <c r="K17" s="375"/>
      <c r="L17" s="375"/>
      <c r="M17" s="376"/>
      <c r="N17" s="495">
        <f>SUM(O17:V17)</f>
        <v>950</v>
      </c>
      <c r="O17" s="373"/>
      <c r="P17" s="496">
        <v>950</v>
      </c>
      <c r="Q17" s="375"/>
      <c r="R17" s="375"/>
      <c r="S17" s="375"/>
      <c r="T17" s="375"/>
      <c r="U17" s="375"/>
      <c r="V17" s="381"/>
    </row>
    <row r="18" spans="1:22" ht="14.25">
      <c r="A18" s="252" t="s">
        <v>1412</v>
      </c>
      <c r="B18" s="136" t="s">
        <v>979</v>
      </c>
      <c r="C18" s="497">
        <f>SUM(D18:M18)</f>
        <v>950</v>
      </c>
      <c r="D18" s="498"/>
      <c r="E18" s="496"/>
      <c r="F18" s="496">
        <v>950</v>
      </c>
      <c r="G18" s="375"/>
      <c r="H18" s="375"/>
      <c r="I18" s="375"/>
      <c r="J18" s="375"/>
      <c r="K18" s="375"/>
      <c r="L18" s="375"/>
      <c r="M18" s="376"/>
      <c r="N18" s="497">
        <f>SUM(O18:V18)</f>
        <v>953</v>
      </c>
      <c r="O18" s="499"/>
      <c r="P18" s="496">
        <v>953</v>
      </c>
      <c r="Q18" s="496"/>
      <c r="R18" s="496"/>
      <c r="S18" s="375"/>
      <c r="T18" s="375"/>
      <c r="U18" s="375"/>
      <c r="V18" s="381"/>
    </row>
    <row r="19" spans="1:22" ht="14.25">
      <c r="A19" s="252" t="s">
        <v>1413</v>
      </c>
      <c r="B19" s="136" t="s">
        <v>1414</v>
      </c>
      <c r="C19" s="500">
        <f>ROUND(100*C18/C17,1)</f>
        <v>100</v>
      </c>
      <c r="D19" s="498"/>
      <c r="E19" s="496"/>
      <c r="F19" s="501">
        <f>ROUND(100*F18/F17,1)</f>
        <v>100</v>
      </c>
      <c r="G19" s="375"/>
      <c r="H19" s="375"/>
      <c r="I19" s="375"/>
      <c r="J19" s="375"/>
      <c r="K19" s="375"/>
      <c r="L19" s="375"/>
      <c r="M19" s="376"/>
      <c r="N19" s="500">
        <f>ROUND(100*N18/N17,1)</f>
        <v>100.3</v>
      </c>
      <c r="O19" s="499"/>
      <c r="P19" s="501">
        <f>ROUND(100*P18/P17,1)</f>
        <v>100.3</v>
      </c>
      <c r="Q19" s="496"/>
      <c r="R19" s="496"/>
      <c r="S19" s="375"/>
      <c r="T19" s="375"/>
      <c r="U19" s="375"/>
      <c r="V19" s="381"/>
    </row>
    <row r="20" spans="1:22" ht="14.25">
      <c r="A20" s="491" t="s">
        <v>1569</v>
      </c>
      <c r="B20" s="268"/>
      <c r="C20" s="497"/>
      <c r="D20" s="498"/>
      <c r="E20" s="496"/>
      <c r="F20" s="496"/>
      <c r="G20" s="375"/>
      <c r="H20" s="375"/>
      <c r="I20" s="375"/>
      <c r="J20" s="375"/>
      <c r="K20" s="375"/>
      <c r="L20" s="375"/>
      <c r="M20" s="376"/>
      <c r="N20" s="497"/>
      <c r="O20" s="499"/>
      <c r="P20" s="496"/>
      <c r="Q20" s="496"/>
      <c r="R20" s="496"/>
      <c r="S20" s="375"/>
      <c r="T20" s="375"/>
      <c r="U20" s="375"/>
      <c r="V20" s="381"/>
    </row>
    <row r="21" spans="1:22" ht="14.25">
      <c r="A21" s="316" t="s">
        <v>1416</v>
      </c>
      <c r="B21" s="136" t="s">
        <v>1084</v>
      </c>
      <c r="C21" s="497"/>
      <c r="D21" s="498"/>
      <c r="E21" s="496"/>
      <c r="F21" s="496"/>
      <c r="G21" s="375"/>
      <c r="H21" s="375"/>
      <c r="I21" s="375"/>
      <c r="J21" s="375"/>
      <c r="K21" s="375"/>
      <c r="L21" s="375"/>
      <c r="M21" s="376"/>
      <c r="N21" s="497"/>
      <c r="O21" s="499"/>
      <c r="P21" s="496"/>
      <c r="Q21" s="496"/>
      <c r="R21" s="496"/>
      <c r="S21" s="375"/>
      <c r="T21" s="375"/>
      <c r="U21" s="375"/>
      <c r="V21" s="381"/>
    </row>
    <row r="22" spans="1:22" ht="14.25">
      <c r="A22" s="252" t="s">
        <v>1417</v>
      </c>
      <c r="B22" s="136" t="s">
        <v>978</v>
      </c>
      <c r="C22" s="495">
        <f>SUM(D22:M22)</f>
        <v>2000</v>
      </c>
      <c r="D22" s="498"/>
      <c r="E22" s="496"/>
      <c r="F22" s="496">
        <v>2000</v>
      </c>
      <c r="G22" s="375"/>
      <c r="H22" s="375"/>
      <c r="I22" s="375"/>
      <c r="J22" s="375"/>
      <c r="K22" s="375"/>
      <c r="L22" s="375"/>
      <c r="M22" s="376"/>
      <c r="N22" s="495">
        <f>SUM(O22:V22)</f>
        <v>2000</v>
      </c>
      <c r="O22" s="499"/>
      <c r="P22" s="496">
        <v>2000</v>
      </c>
      <c r="Q22" s="496"/>
      <c r="R22" s="496"/>
      <c r="S22" s="375"/>
      <c r="T22" s="375"/>
      <c r="U22" s="375"/>
      <c r="V22" s="381"/>
    </row>
    <row r="23" spans="1:22" ht="14.25">
      <c r="A23" s="252" t="s">
        <v>1418</v>
      </c>
      <c r="B23" s="136" t="s">
        <v>979</v>
      </c>
      <c r="C23" s="497">
        <f>SUM(D23:M23)</f>
        <v>2000</v>
      </c>
      <c r="D23" s="498"/>
      <c r="E23" s="496"/>
      <c r="F23" s="496">
        <v>2000</v>
      </c>
      <c r="G23" s="375"/>
      <c r="H23" s="375"/>
      <c r="I23" s="375"/>
      <c r="J23" s="375"/>
      <c r="K23" s="375"/>
      <c r="L23" s="375"/>
      <c r="M23" s="376"/>
      <c r="N23" s="497">
        <f>SUM(O23:V23)</f>
        <v>2899</v>
      </c>
      <c r="O23" s="499"/>
      <c r="P23" s="496">
        <v>2899</v>
      </c>
      <c r="Q23" s="496"/>
      <c r="R23" s="496"/>
      <c r="S23" s="375"/>
      <c r="T23" s="375"/>
      <c r="U23" s="375"/>
      <c r="V23" s="381"/>
    </row>
    <row r="24" spans="1:22" ht="14.25">
      <c r="A24" s="252" t="s">
        <v>1419</v>
      </c>
      <c r="B24" s="136" t="s">
        <v>1414</v>
      </c>
      <c r="C24" s="500">
        <f>ROUND(100*C23/C22,1)</f>
        <v>100</v>
      </c>
      <c r="D24" s="498"/>
      <c r="E24" s="496"/>
      <c r="F24" s="501">
        <f>ROUND(100*F23/F22,1)</f>
        <v>100</v>
      </c>
      <c r="G24" s="375"/>
      <c r="H24" s="375"/>
      <c r="I24" s="375"/>
      <c r="J24" s="375"/>
      <c r="K24" s="375"/>
      <c r="L24" s="375"/>
      <c r="M24" s="376"/>
      <c r="N24" s="500">
        <f>ROUND(100*N23/N22,1)</f>
        <v>145</v>
      </c>
      <c r="O24" s="499"/>
      <c r="P24" s="501">
        <f>ROUND(100*P23/P22,1)</f>
        <v>145</v>
      </c>
      <c r="Q24" s="496"/>
      <c r="R24" s="496"/>
      <c r="S24" s="375"/>
      <c r="T24" s="375"/>
      <c r="U24" s="375"/>
      <c r="V24" s="381"/>
    </row>
    <row r="25" spans="1:22" ht="14.25">
      <c r="A25" s="491" t="s">
        <v>1420</v>
      </c>
      <c r="B25" s="268"/>
      <c r="C25" s="497"/>
      <c r="D25" s="498"/>
      <c r="E25" s="496"/>
      <c r="F25" s="496"/>
      <c r="G25" s="375"/>
      <c r="H25" s="375"/>
      <c r="I25" s="375"/>
      <c r="J25" s="375"/>
      <c r="K25" s="375"/>
      <c r="L25" s="375"/>
      <c r="M25" s="376"/>
      <c r="N25" s="497"/>
      <c r="O25" s="499"/>
      <c r="P25" s="496"/>
      <c r="Q25" s="496"/>
      <c r="R25" s="496"/>
      <c r="S25" s="375"/>
      <c r="T25" s="375"/>
      <c r="U25" s="375"/>
      <c r="V25" s="381"/>
    </row>
    <row r="26" spans="1:22" ht="14.25">
      <c r="A26" s="316" t="s">
        <v>1092</v>
      </c>
      <c r="B26" s="136" t="s">
        <v>1084</v>
      </c>
      <c r="C26" s="497"/>
      <c r="D26" s="498"/>
      <c r="E26" s="496"/>
      <c r="F26" s="496"/>
      <c r="G26" s="375"/>
      <c r="H26" s="375"/>
      <c r="I26" s="375"/>
      <c r="J26" s="375"/>
      <c r="K26" s="375"/>
      <c r="L26" s="375"/>
      <c r="M26" s="376"/>
      <c r="N26" s="497"/>
      <c r="O26" s="499"/>
      <c r="P26" s="496"/>
      <c r="Q26" s="496"/>
      <c r="R26" s="496"/>
      <c r="S26" s="375"/>
      <c r="T26" s="375"/>
      <c r="U26" s="375"/>
      <c r="V26" s="381"/>
    </row>
    <row r="27" spans="1:22" ht="14.25">
      <c r="A27" s="252" t="s">
        <v>1100</v>
      </c>
      <c r="B27" s="136" t="s">
        <v>978</v>
      </c>
      <c r="C27" s="495">
        <f>SUM(D27:M27)</f>
        <v>670</v>
      </c>
      <c r="D27" s="498"/>
      <c r="E27" s="496"/>
      <c r="F27" s="496">
        <v>670</v>
      </c>
      <c r="G27" s="375"/>
      <c r="H27" s="375"/>
      <c r="I27" s="375"/>
      <c r="J27" s="375"/>
      <c r="K27" s="375"/>
      <c r="L27" s="375"/>
      <c r="M27" s="376"/>
      <c r="N27" s="495">
        <f>SUM(O27:V27)</f>
        <v>670</v>
      </c>
      <c r="O27" s="499"/>
      <c r="P27" s="496">
        <v>670</v>
      </c>
      <c r="Q27" s="496"/>
      <c r="R27" s="496"/>
      <c r="S27" s="375"/>
      <c r="T27" s="375"/>
      <c r="U27" s="375"/>
      <c r="V27" s="381"/>
    </row>
    <row r="28" spans="1:22" ht="14.25">
      <c r="A28" s="252" t="s">
        <v>1102</v>
      </c>
      <c r="B28" s="136" t="s">
        <v>979</v>
      </c>
      <c r="C28" s="497">
        <f>SUM(D28:M28)</f>
        <v>670</v>
      </c>
      <c r="D28" s="498"/>
      <c r="E28" s="496"/>
      <c r="F28" s="496">
        <v>670</v>
      </c>
      <c r="G28" s="375"/>
      <c r="H28" s="375"/>
      <c r="I28" s="375"/>
      <c r="J28" s="375"/>
      <c r="K28" s="375"/>
      <c r="L28" s="375"/>
      <c r="M28" s="376"/>
      <c r="N28" s="497">
        <f>SUM(O28:V28)</f>
        <v>950</v>
      </c>
      <c r="O28" s="499"/>
      <c r="P28" s="496">
        <v>950</v>
      </c>
      <c r="Q28" s="496"/>
      <c r="R28" s="496"/>
      <c r="S28" s="375"/>
      <c r="T28" s="375"/>
      <c r="U28" s="375"/>
      <c r="V28" s="381"/>
    </row>
    <row r="29" spans="1:22" ht="14.25">
      <c r="A29" s="252" t="s">
        <v>1421</v>
      </c>
      <c r="B29" s="136" t="s">
        <v>1414</v>
      </c>
      <c r="C29" s="500">
        <f>ROUND(100*C28/C27,1)</f>
        <v>100</v>
      </c>
      <c r="D29" s="498"/>
      <c r="E29" s="496"/>
      <c r="F29" s="501">
        <f>ROUND(100*F28/F27,1)</f>
        <v>100</v>
      </c>
      <c r="G29" s="375"/>
      <c r="H29" s="375"/>
      <c r="I29" s="375"/>
      <c r="J29" s="375"/>
      <c r="K29" s="375"/>
      <c r="L29" s="375"/>
      <c r="M29" s="376"/>
      <c r="N29" s="500">
        <f>ROUND(100*N28/N27,1)</f>
        <v>141.8</v>
      </c>
      <c r="O29" s="499"/>
      <c r="P29" s="501">
        <f>ROUND(100*P28/P27,1)</f>
        <v>141.8</v>
      </c>
      <c r="Q29" s="496"/>
      <c r="R29" s="496"/>
      <c r="S29" s="375"/>
      <c r="T29" s="375"/>
      <c r="U29" s="375"/>
      <c r="V29" s="381"/>
    </row>
    <row r="30" spans="1:22" ht="14.25">
      <c r="A30" s="491" t="s">
        <v>1422</v>
      </c>
      <c r="B30" s="268"/>
      <c r="C30" s="497"/>
      <c r="D30" s="498"/>
      <c r="E30" s="496"/>
      <c r="F30" s="496"/>
      <c r="G30" s="375"/>
      <c r="H30" s="375"/>
      <c r="I30" s="375"/>
      <c r="J30" s="375"/>
      <c r="K30" s="375"/>
      <c r="L30" s="375"/>
      <c r="M30" s="376"/>
      <c r="N30" s="497"/>
      <c r="O30" s="499"/>
      <c r="P30" s="496"/>
      <c r="Q30" s="496"/>
      <c r="R30" s="496"/>
      <c r="S30" s="375"/>
      <c r="T30" s="375"/>
      <c r="U30" s="375"/>
      <c r="V30" s="381"/>
    </row>
    <row r="31" spans="1:22" ht="14.25">
      <c r="A31" s="316" t="s">
        <v>1423</v>
      </c>
      <c r="B31" s="136" t="s">
        <v>1084</v>
      </c>
      <c r="C31" s="497"/>
      <c r="D31" s="498"/>
      <c r="E31" s="496"/>
      <c r="F31" s="496"/>
      <c r="G31" s="375"/>
      <c r="H31" s="375"/>
      <c r="I31" s="375"/>
      <c r="J31" s="375"/>
      <c r="K31" s="375"/>
      <c r="L31" s="375"/>
      <c r="M31" s="376"/>
      <c r="N31" s="497"/>
      <c r="O31" s="499"/>
      <c r="P31" s="496"/>
      <c r="Q31" s="496"/>
      <c r="R31" s="496"/>
      <c r="S31" s="375"/>
      <c r="T31" s="375"/>
      <c r="U31" s="375"/>
      <c r="V31" s="381"/>
    </row>
    <row r="32" spans="1:22" ht="14.25">
      <c r="A32" s="252" t="s">
        <v>1424</v>
      </c>
      <c r="B32" s="136" t="s">
        <v>978</v>
      </c>
      <c r="C32" s="495">
        <f>SUM(D32:M32)</f>
        <v>500</v>
      </c>
      <c r="D32" s="498"/>
      <c r="E32" s="496"/>
      <c r="F32" s="496">
        <v>500</v>
      </c>
      <c r="G32" s="375"/>
      <c r="H32" s="375"/>
      <c r="I32" s="375"/>
      <c r="J32" s="375"/>
      <c r="K32" s="375"/>
      <c r="L32" s="375"/>
      <c r="M32" s="376"/>
      <c r="N32" s="495">
        <f>SUM(O32:V32)</f>
        <v>500</v>
      </c>
      <c r="O32" s="499"/>
      <c r="P32" s="496">
        <v>500</v>
      </c>
      <c r="Q32" s="496"/>
      <c r="R32" s="496"/>
      <c r="S32" s="375"/>
      <c r="T32" s="375"/>
      <c r="U32" s="375"/>
      <c r="V32" s="381"/>
    </row>
    <row r="33" spans="1:22" ht="14.25">
      <c r="A33" s="252" t="s">
        <v>1425</v>
      </c>
      <c r="B33" s="136" t="s">
        <v>979</v>
      </c>
      <c r="C33" s="497">
        <f>SUM(D33:M33)</f>
        <v>500</v>
      </c>
      <c r="D33" s="498"/>
      <c r="E33" s="496"/>
      <c r="F33" s="496">
        <v>500</v>
      </c>
      <c r="G33" s="375"/>
      <c r="H33" s="375"/>
      <c r="I33" s="375"/>
      <c r="J33" s="375"/>
      <c r="K33" s="375"/>
      <c r="L33" s="375"/>
      <c r="M33" s="376"/>
      <c r="N33" s="497">
        <f>SUM(O33:V33)</f>
        <v>702</v>
      </c>
      <c r="O33" s="499"/>
      <c r="P33" s="496">
        <v>702</v>
      </c>
      <c r="Q33" s="496"/>
      <c r="R33" s="496"/>
      <c r="S33" s="375"/>
      <c r="T33" s="375"/>
      <c r="U33" s="375"/>
      <c r="V33" s="381"/>
    </row>
    <row r="34" spans="1:22" ht="14.25">
      <c r="A34" s="252" t="s">
        <v>1426</v>
      </c>
      <c r="B34" s="136" t="s">
        <v>1414</v>
      </c>
      <c r="C34" s="500">
        <f>ROUND(100*C33/C32,1)</f>
        <v>100</v>
      </c>
      <c r="D34" s="498"/>
      <c r="E34" s="496"/>
      <c r="F34" s="501">
        <f>ROUND(100*F33/F32,1)</f>
        <v>100</v>
      </c>
      <c r="G34" s="375"/>
      <c r="H34" s="375"/>
      <c r="I34" s="375"/>
      <c r="J34" s="375"/>
      <c r="K34" s="375"/>
      <c r="L34" s="375"/>
      <c r="M34" s="376"/>
      <c r="N34" s="500">
        <f>ROUND(100*N33/N32,1)</f>
        <v>140.4</v>
      </c>
      <c r="O34" s="499"/>
      <c r="P34" s="501">
        <f>ROUND(100*P33/P32,1)</f>
        <v>140.4</v>
      </c>
      <c r="Q34" s="496"/>
      <c r="R34" s="496"/>
      <c r="S34" s="375"/>
      <c r="T34" s="375"/>
      <c r="U34" s="375"/>
      <c r="V34" s="381"/>
    </row>
    <row r="35" spans="1:22" ht="14.25">
      <c r="A35" s="491" t="s">
        <v>1427</v>
      </c>
      <c r="B35" s="136"/>
      <c r="C35" s="497"/>
      <c r="D35" s="498"/>
      <c r="E35" s="496"/>
      <c r="F35" s="496"/>
      <c r="G35" s="375"/>
      <c r="H35" s="375"/>
      <c r="I35" s="375"/>
      <c r="J35" s="375"/>
      <c r="K35" s="375"/>
      <c r="L35" s="375"/>
      <c r="M35" s="376"/>
      <c r="N35" s="500"/>
      <c r="O35" s="499"/>
      <c r="P35" s="501"/>
      <c r="Q35" s="496"/>
      <c r="R35" s="496"/>
      <c r="S35" s="375"/>
      <c r="T35" s="375"/>
      <c r="U35" s="375"/>
      <c r="V35" s="381"/>
    </row>
    <row r="36" spans="1:22" ht="14.25">
      <c r="A36" s="252" t="s">
        <v>1428</v>
      </c>
      <c r="B36" s="136" t="s">
        <v>1084</v>
      </c>
      <c r="C36" s="497"/>
      <c r="D36" s="498"/>
      <c r="E36" s="496"/>
      <c r="F36" s="496"/>
      <c r="G36" s="375"/>
      <c r="H36" s="375"/>
      <c r="I36" s="375"/>
      <c r="J36" s="375"/>
      <c r="K36" s="375"/>
      <c r="L36" s="375"/>
      <c r="M36" s="376"/>
      <c r="N36" s="500"/>
      <c r="O36" s="499"/>
      <c r="P36" s="501"/>
      <c r="Q36" s="496"/>
      <c r="R36" s="496"/>
      <c r="S36" s="375"/>
      <c r="T36" s="375"/>
      <c r="U36" s="375"/>
      <c r="V36" s="381"/>
    </row>
    <row r="37" spans="1:22" ht="14.25">
      <c r="A37" s="252" t="s">
        <v>1429</v>
      </c>
      <c r="B37" s="136" t="s">
        <v>978</v>
      </c>
      <c r="C37" s="497"/>
      <c r="D37" s="498"/>
      <c r="E37" s="496"/>
      <c r="F37" s="496"/>
      <c r="G37" s="375"/>
      <c r="H37" s="375"/>
      <c r="I37" s="375"/>
      <c r="J37" s="375"/>
      <c r="K37" s="375"/>
      <c r="L37" s="375"/>
      <c r="M37" s="376"/>
      <c r="N37" s="500"/>
      <c r="O37" s="499"/>
      <c r="P37" s="501"/>
      <c r="Q37" s="496"/>
      <c r="R37" s="496"/>
      <c r="S37" s="375"/>
      <c r="T37" s="375"/>
      <c r="U37" s="375"/>
      <c r="V37" s="381"/>
    </row>
    <row r="38" spans="1:22" ht="14.25">
      <c r="A38" s="252" t="s">
        <v>1430</v>
      </c>
      <c r="B38" s="136" t="s">
        <v>979</v>
      </c>
      <c r="C38" s="497"/>
      <c r="D38" s="498"/>
      <c r="E38" s="496"/>
      <c r="F38" s="496"/>
      <c r="G38" s="375"/>
      <c r="H38" s="375"/>
      <c r="I38" s="375"/>
      <c r="J38" s="375"/>
      <c r="K38" s="375"/>
      <c r="L38" s="375"/>
      <c r="M38" s="376"/>
      <c r="N38" s="497">
        <f>SUM(O38:V38)</f>
        <v>234</v>
      </c>
      <c r="O38" s="499"/>
      <c r="P38" s="496">
        <v>234</v>
      </c>
      <c r="Q38" s="496"/>
      <c r="R38" s="496"/>
      <c r="S38" s="375"/>
      <c r="T38" s="375"/>
      <c r="U38" s="375"/>
      <c r="V38" s="381"/>
    </row>
    <row r="39" spans="1:22" ht="14.25">
      <c r="A39" s="252" t="s">
        <v>1431</v>
      </c>
      <c r="B39" s="136" t="s">
        <v>1414</v>
      </c>
      <c r="C39" s="497"/>
      <c r="D39" s="498"/>
      <c r="E39" s="496"/>
      <c r="F39" s="496"/>
      <c r="G39" s="375"/>
      <c r="H39" s="375"/>
      <c r="I39" s="375"/>
      <c r="J39" s="375"/>
      <c r="K39" s="375"/>
      <c r="L39" s="375"/>
      <c r="M39" s="376"/>
      <c r="N39" s="500"/>
      <c r="O39" s="499"/>
      <c r="P39" s="501"/>
      <c r="Q39" s="496"/>
      <c r="R39" s="496"/>
      <c r="S39" s="375"/>
      <c r="T39" s="375"/>
      <c r="U39" s="375"/>
      <c r="V39" s="381"/>
    </row>
    <row r="40" spans="1:22" ht="14.25">
      <c r="A40" s="491" t="s">
        <v>1432</v>
      </c>
      <c r="B40" s="268"/>
      <c r="C40" s="497"/>
      <c r="D40" s="498"/>
      <c r="E40" s="496"/>
      <c r="F40" s="496"/>
      <c r="G40" s="375"/>
      <c r="H40" s="375"/>
      <c r="I40" s="375"/>
      <c r="J40" s="375"/>
      <c r="K40" s="375"/>
      <c r="L40" s="375"/>
      <c r="M40" s="376"/>
      <c r="N40" s="497"/>
      <c r="O40" s="499"/>
      <c r="P40" s="496"/>
      <c r="Q40" s="496"/>
      <c r="R40" s="496"/>
      <c r="S40" s="375"/>
      <c r="T40" s="375"/>
      <c r="U40" s="375"/>
      <c r="V40" s="381"/>
    </row>
    <row r="41" spans="1:22" ht="14.25">
      <c r="A41" s="316" t="s">
        <v>1433</v>
      </c>
      <c r="B41" s="136" t="s">
        <v>1084</v>
      </c>
      <c r="C41" s="497"/>
      <c r="D41" s="498"/>
      <c r="E41" s="496"/>
      <c r="F41" s="496"/>
      <c r="G41" s="375"/>
      <c r="H41" s="375"/>
      <c r="I41" s="375"/>
      <c r="J41" s="375"/>
      <c r="K41" s="375"/>
      <c r="L41" s="375"/>
      <c r="M41" s="376"/>
      <c r="N41" s="497"/>
      <c r="O41" s="499"/>
      <c r="P41" s="496"/>
      <c r="Q41" s="496"/>
      <c r="R41" s="496"/>
      <c r="S41" s="375"/>
      <c r="T41" s="375"/>
      <c r="U41" s="375"/>
      <c r="V41" s="381"/>
    </row>
    <row r="42" spans="1:22" ht="14.25">
      <c r="A42" s="252" t="s">
        <v>1434</v>
      </c>
      <c r="B42" s="136" t="s">
        <v>978</v>
      </c>
      <c r="C42" s="495">
        <f>SUM(D42:M42)</f>
        <v>320</v>
      </c>
      <c r="D42" s="498"/>
      <c r="E42" s="496"/>
      <c r="F42" s="496">
        <v>320</v>
      </c>
      <c r="G42" s="375"/>
      <c r="H42" s="375"/>
      <c r="I42" s="375"/>
      <c r="J42" s="375"/>
      <c r="K42" s="375"/>
      <c r="L42" s="375"/>
      <c r="M42" s="376"/>
      <c r="N42" s="495">
        <f>SUM(O42:V42)</f>
        <v>320</v>
      </c>
      <c r="O42" s="499"/>
      <c r="P42" s="496">
        <v>320</v>
      </c>
      <c r="Q42" s="496"/>
      <c r="R42" s="496"/>
      <c r="S42" s="375"/>
      <c r="T42" s="375"/>
      <c r="U42" s="375"/>
      <c r="V42" s="381"/>
    </row>
    <row r="43" spans="1:22" ht="14.25">
      <c r="A43" s="252" t="s">
        <v>1435</v>
      </c>
      <c r="B43" s="136" t="s">
        <v>979</v>
      </c>
      <c r="C43" s="497">
        <f>SUM(D43:M43)</f>
        <v>320</v>
      </c>
      <c r="D43" s="498"/>
      <c r="E43" s="496"/>
      <c r="F43" s="496">
        <v>320</v>
      </c>
      <c r="G43" s="375"/>
      <c r="H43" s="375"/>
      <c r="I43" s="375"/>
      <c r="J43" s="375"/>
      <c r="K43" s="375"/>
      <c r="L43" s="375"/>
      <c r="M43" s="376"/>
      <c r="N43" s="497">
        <f>SUM(O43:V43)</f>
        <v>320</v>
      </c>
      <c r="O43" s="499"/>
      <c r="P43" s="496">
        <v>320</v>
      </c>
      <c r="Q43" s="496"/>
      <c r="R43" s="496"/>
      <c r="S43" s="375"/>
      <c r="T43" s="375"/>
      <c r="U43" s="375"/>
      <c r="V43" s="381"/>
    </row>
    <row r="44" spans="1:22" ht="14.25">
      <c r="A44" s="252" t="s">
        <v>1436</v>
      </c>
      <c r="B44" s="136" t="s">
        <v>1414</v>
      </c>
      <c r="C44" s="500">
        <f>ROUND(100*C43/C42,1)</f>
        <v>100</v>
      </c>
      <c r="D44" s="498"/>
      <c r="E44" s="496"/>
      <c r="F44" s="501">
        <f>ROUND(100*F43/F42,1)</f>
        <v>100</v>
      </c>
      <c r="G44" s="375"/>
      <c r="H44" s="375"/>
      <c r="I44" s="375"/>
      <c r="J44" s="375"/>
      <c r="K44" s="375"/>
      <c r="L44" s="375"/>
      <c r="M44" s="376"/>
      <c r="N44" s="500">
        <f>ROUND(100*N43/N42,1)</f>
        <v>100</v>
      </c>
      <c r="O44" s="499"/>
      <c r="P44" s="501">
        <f>ROUND(100*P43/P42,1)</f>
        <v>100</v>
      </c>
      <c r="Q44" s="496"/>
      <c r="R44" s="496"/>
      <c r="S44" s="375"/>
      <c r="T44" s="375"/>
      <c r="U44" s="375"/>
      <c r="V44" s="381"/>
    </row>
    <row r="45" spans="1:22" ht="15">
      <c r="A45" s="502" t="s">
        <v>1615</v>
      </c>
      <c r="B45" s="383"/>
      <c r="C45" s="503"/>
      <c r="D45" s="504"/>
      <c r="E45" s="505"/>
      <c r="F45" s="505"/>
      <c r="G45" s="506"/>
      <c r="H45" s="506"/>
      <c r="I45" s="506"/>
      <c r="J45" s="506"/>
      <c r="K45" s="506"/>
      <c r="L45" s="506"/>
      <c r="M45" s="507"/>
      <c r="N45" s="503"/>
      <c r="O45" s="508"/>
      <c r="P45" s="505"/>
      <c r="Q45" s="505"/>
      <c r="R45" s="505"/>
      <c r="S45" s="506"/>
      <c r="T45" s="506"/>
      <c r="U45" s="506"/>
      <c r="V45" s="509"/>
    </row>
    <row r="46" spans="1:22" ht="14.25">
      <c r="A46" s="316" t="s">
        <v>1009</v>
      </c>
      <c r="B46" s="136" t="s">
        <v>1084</v>
      </c>
      <c r="C46" s="497"/>
      <c r="D46" s="498"/>
      <c r="E46" s="496"/>
      <c r="F46" s="496"/>
      <c r="G46" s="375"/>
      <c r="H46" s="375"/>
      <c r="I46" s="375"/>
      <c r="J46" s="375"/>
      <c r="K46" s="375"/>
      <c r="L46" s="375"/>
      <c r="M46" s="376"/>
      <c r="N46" s="497"/>
      <c r="O46" s="499"/>
      <c r="P46" s="496"/>
      <c r="Q46" s="496"/>
      <c r="R46" s="496"/>
      <c r="S46" s="375"/>
      <c r="T46" s="375"/>
      <c r="U46" s="375"/>
      <c r="V46" s="381"/>
    </row>
    <row r="47" spans="1:22" ht="14.25">
      <c r="A47" s="252" t="s">
        <v>1012</v>
      </c>
      <c r="B47" s="136" t="s">
        <v>978</v>
      </c>
      <c r="C47" s="495">
        <f>SUM(D47:M47)</f>
        <v>4440</v>
      </c>
      <c r="D47" s="498"/>
      <c r="E47" s="496"/>
      <c r="F47" s="496">
        <f>SUM(F42,F32,F27,F22,F17)</f>
        <v>4440</v>
      </c>
      <c r="G47" s="375"/>
      <c r="H47" s="375"/>
      <c r="I47" s="375"/>
      <c r="J47" s="375"/>
      <c r="K47" s="375"/>
      <c r="L47" s="375"/>
      <c r="M47" s="376"/>
      <c r="N47" s="495">
        <f>SUM(O47:V47)</f>
        <v>4440</v>
      </c>
      <c r="O47" s="499"/>
      <c r="P47" s="496">
        <f>SUM(P42,P32,P27,P22,P17)</f>
        <v>4440</v>
      </c>
      <c r="Q47" s="496"/>
      <c r="R47" s="496"/>
      <c r="S47" s="375"/>
      <c r="T47" s="375"/>
      <c r="U47" s="375"/>
      <c r="V47" s="381"/>
    </row>
    <row r="48" spans="1:22" ht="15">
      <c r="A48" s="252" t="s">
        <v>1015</v>
      </c>
      <c r="B48" s="136" t="s">
        <v>979</v>
      </c>
      <c r="C48" s="510">
        <f>SUM(D48:M48)</f>
        <v>4440</v>
      </c>
      <c r="D48" s="498"/>
      <c r="E48" s="496"/>
      <c r="F48" s="496">
        <f>SUM(F43,F33,F28,F23,F18)</f>
        <v>4440</v>
      </c>
      <c r="G48" s="375"/>
      <c r="H48" s="375"/>
      <c r="I48" s="375"/>
      <c r="J48" s="375"/>
      <c r="K48" s="375"/>
      <c r="L48" s="375"/>
      <c r="M48" s="376"/>
      <c r="N48" s="510">
        <f>SUM(O48:V48)</f>
        <v>6058</v>
      </c>
      <c r="O48" s="499"/>
      <c r="P48" s="496">
        <f>SUM(P43,P33,P28,P23,P18,P38)</f>
        <v>6058</v>
      </c>
      <c r="Q48" s="496"/>
      <c r="R48" s="496"/>
      <c r="S48" s="375"/>
      <c r="T48" s="375"/>
      <c r="U48" s="375"/>
      <c r="V48" s="381"/>
    </row>
    <row r="49" spans="1:22" ht="15">
      <c r="A49" s="303" t="s">
        <v>1018</v>
      </c>
      <c r="B49" s="511" t="s">
        <v>1414</v>
      </c>
      <c r="C49" s="512">
        <f>ROUND(100*C48/C47,1)</f>
        <v>100</v>
      </c>
      <c r="D49" s="513"/>
      <c r="E49" s="514"/>
      <c r="F49" s="515">
        <f>ROUND(100*F48/F47,1)</f>
        <v>100</v>
      </c>
      <c r="G49" s="437"/>
      <c r="H49" s="437"/>
      <c r="I49" s="437"/>
      <c r="J49" s="437"/>
      <c r="K49" s="437"/>
      <c r="L49" s="437"/>
      <c r="M49" s="516"/>
      <c r="N49" s="512">
        <f>ROUND(100*N48/N47,1)</f>
        <v>136.4</v>
      </c>
      <c r="O49" s="517"/>
      <c r="P49" s="515">
        <f>ROUND(100*P48/P47,1)</f>
        <v>136.4</v>
      </c>
      <c r="Q49" s="514"/>
      <c r="R49" s="514"/>
      <c r="S49" s="437"/>
      <c r="T49" s="437"/>
      <c r="U49" s="437"/>
      <c r="V49" s="438"/>
    </row>
    <row r="50" spans="1:22" ht="15">
      <c r="A50" s="491" t="s">
        <v>1616</v>
      </c>
      <c r="B50" s="136"/>
      <c r="C50" s="518"/>
      <c r="D50" s="498"/>
      <c r="E50" s="496"/>
      <c r="F50" s="519"/>
      <c r="G50" s="374"/>
      <c r="H50" s="374"/>
      <c r="I50" s="375"/>
      <c r="J50" s="375"/>
      <c r="K50" s="375"/>
      <c r="L50" s="374"/>
      <c r="M50" s="268"/>
      <c r="N50" s="510"/>
      <c r="O50" s="520"/>
      <c r="P50" s="521"/>
      <c r="Q50" s="496"/>
      <c r="R50" s="496"/>
      <c r="S50" s="375"/>
      <c r="T50" s="375"/>
      <c r="U50" s="268"/>
      <c r="V50" s="381"/>
    </row>
    <row r="51" spans="1:22" ht="15">
      <c r="A51" s="316" t="s">
        <v>1204</v>
      </c>
      <c r="B51" s="136" t="s">
        <v>1084</v>
      </c>
      <c r="C51" s="510"/>
      <c r="D51" s="498"/>
      <c r="E51" s="496"/>
      <c r="F51" s="519"/>
      <c r="G51" s="374"/>
      <c r="H51" s="374"/>
      <c r="I51" s="375"/>
      <c r="J51" s="375"/>
      <c r="K51" s="375"/>
      <c r="L51" s="374"/>
      <c r="M51" s="268"/>
      <c r="N51" s="510"/>
      <c r="O51" s="520"/>
      <c r="P51" s="521"/>
      <c r="Q51" s="496"/>
      <c r="R51" s="496"/>
      <c r="S51" s="375"/>
      <c r="T51" s="375"/>
      <c r="U51" s="268"/>
      <c r="V51" s="381"/>
    </row>
    <row r="52" spans="1:22" ht="15">
      <c r="A52" s="252" t="s">
        <v>1439</v>
      </c>
      <c r="B52" s="136" t="s">
        <v>978</v>
      </c>
      <c r="C52" s="497">
        <f>SUM(D52:M52)</f>
        <v>616</v>
      </c>
      <c r="D52" s="498"/>
      <c r="E52" s="496"/>
      <c r="F52" s="498">
        <v>616</v>
      </c>
      <c r="G52" s="374"/>
      <c r="H52" s="374"/>
      <c r="I52" s="375"/>
      <c r="J52" s="375"/>
      <c r="K52" s="375"/>
      <c r="L52" s="374"/>
      <c r="M52" s="268"/>
      <c r="N52" s="497">
        <f>SUM(O52:V52)</f>
        <v>616</v>
      </c>
      <c r="O52" s="520"/>
      <c r="P52" s="496">
        <v>616</v>
      </c>
      <c r="Q52" s="496"/>
      <c r="R52" s="496"/>
      <c r="S52" s="375"/>
      <c r="T52" s="375"/>
      <c r="U52" s="268"/>
      <c r="V52" s="381"/>
    </row>
    <row r="53" spans="1:22" ht="15">
      <c r="A53" s="252" t="s">
        <v>1440</v>
      </c>
      <c r="B53" s="136" t="s">
        <v>979</v>
      </c>
      <c r="C53" s="497">
        <f>SUM(D53:M53)</f>
        <v>616</v>
      </c>
      <c r="D53" s="498"/>
      <c r="E53" s="496"/>
      <c r="F53" s="498">
        <v>616</v>
      </c>
      <c r="G53" s="374"/>
      <c r="H53" s="374"/>
      <c r="I53" s="375"/>
      <c r="J53" s="375"/>
      <c r="K53" s="375"/>
      <c r="L53" s="374"/>
      <c r="M53" s="268"/>
      <c r="N53" s="497">
        <f>SUM(O53:V53)</f>
        <v>616</v>
      </c>
      <c r="O53" s="520"/>
      <c r="P53" s="496">
        <v>616</v>
      </c>
      <c r="Q53" s="496"/>
      <c r="R53" s="496"/>
      <c r="S53" s="375"/>
      <c r="T53" s="375"/>
      <c r="U53" s="268"/>
      <c r="V53" s="381"/>
    </row>
    <row r="54" spans="1:22" ht="15">
      <c r="A54" s="252" t="s">
        <v>1441</v>
      </c>
      <c r="B54" s="136" t="s">
        <v>1414</v>
      </c>
      <c r="C54" s="522">
        <f>ROUND(100*C53/C52,1)</f>
        <v>100</v>
      </c>
      <c r="D54" s="498"/>
      <c r="E54" s="496"/>
      <c r="F54" s="523">
        <f>ROUND(100*F53/F52,1)</f>
        <v>100</v>
      </c>
      <c r="G54" s="374"/>
      <c r="H54" s="374"/>
      <c r="I54" s="375"/>
      <c r="J54" s="375"/>
      <c r="K54" s="375"/>
      <c r="L54" s="374"/>
      <c r="M54" s="268"/>
      <c r="N54" s="522">
        <f>ROUND(100*N53/N52,1)</f>
        <v>100</v>
      </c>
      <c r="O54" s="520"/>
      <c r="P54" s="501">
        <f>ROUND(100*P53/P52,1)</f>
        <v>100</v>
      </c>
      <c r="Q54" s="496"/>
      <c r="R54" s="496"/>
      <c r="S54" s="375"/>
      <c r="T54" s="375"/>
      <c r="U54" s="268"/>
      <c r="V54" s="381"/>
    </row>
    <row r="55" spans="1:22" ht="15">
      <c r="A55" s="314" t="s">
        <v>1617</v>
      </c>
      <c r="B55" s="136"/>
      <c r="C55" s="510"/>
      <c r="D55" s="498"/>
      <c r="E55" s="496"/>
      <c r="F55" s="519"/>
      <c r="G55" s="374"/>
      <c r="H55" s="374"/>
      <c r="I55" s="375"/>
      <c r="J55" s="375"/>
      <c r="K55" s="375"/>
      <c r="L55" s="374"/>
      <c r="M55" s="268"/>
      <c r="N55" s="510"/>
      <c r="O55" s="520"/>
      <c r="P55" s="521"/>
      <c r="Q55" s="496"/>
      <c r="R55" s="496"/>
      <c r="S55" s="375"/>
      <c r="T55" s="375"/>
      <c r="U55" s="268"/>
      <c r="V55" s="381"/>
    </row>
    <row r="56" spans="1:26" ht="13.5" customHeight="1">
      <c r="A56" s="316" t="s">
        <v>1443</v>
      </c>
      <c r="B56" s="136" t="s">
        <v>1084</v>
      </c>
      <c r="C56" s="275"/>
      <c r="D56" s="279"/>
      <c r="E56" s="49"/>
      <c r="F56" s="279"/>
      <c r="G56" s="279"/>
      <c r="H56" s="279"/>
      <c r="I56" s="49"/>
      <c r="J56" s="49"/>
      <c r="K56" s="49"/>
      <c r="L56" s="279"/>
      <c r="M56" s="279"/>
      <c r="N56" s="275"/>
      <c r="O56" s="281"/>
      <c r="P56" s="49"/>
      <c r="Q56" s="49"/>
      <c r="R56" s="49"/>
      <c r="S56" s="49"/>
      <c r="T56" s="49"/>
      <c r="U56" s="136"/>
      <c r="V56" s="34"/>
      <c r="W56" s="418"/>
      <c r="X56" s="418"/>
      <c r="Y56" s="418"/>
      <c r="Z56" s="418"/>
    </row>
    <row r="57" spans="1:26" ht="13.5" customHeight="1">
      <c r="A57" s="316" t="s">
        <v>1444</v>
      </c>
      <c r="B57" s="136" t="s">
        <v>978</v>
      </c>
      <c r="C57" s="275">
        <f>SUM(D57:M57)</f>
        <v>15274</v>
      </c>
      <c r="D57" s="279"/>
      <c r="E57" s="49">
        <v>7397</v>
      </c>
      <c r="F57" s="279">
        <v>7877</v>
      </c>
      <c r="G57" s="279"/>
      <c r="H57" s="279"/>
      <c r="I57" s="49"/>
      <c r="J57" s="49"/>
      <c r="K57" s="49"/>
      <c r="L57" s="279"/>
      <c r="M57" s="279"/>
      <c r="N57" s="275">
        <f>SUM(O57:V57)</f>
        <v>15274</v>
      </c>
      <c r="O57" s="281">
        <v>5000</v>
      </c>
      <c r="P57" s="49">
        <v>10274</v>
      </c>
      <c r="Q57" s="49"/>
      <c r="R57" s="49"/>
      <c r="S57" s="49"/>
      <c r="T57" s="49"/>
      <c r="U57" s="136"/>
      <c r="V57" s="34"/>
      <c r="W57" s="418"/>
      <c r="X57" s="418"/>
      <c r="Y57" s="418"/>
      <c r="Z57" s="418"/>
    </row>
    <row r="58" spans="1:26" ht="13.5" customHeight="1">
      <c r="A58" s="316" t="s">
        <v>1445</v>
      </c>
      <c r="B58" s="136" t="s">
        <v>979</v>
      </c>
      <c r="C58" s="275">
        <f>SUM(D58:M58)</f>
        <v>16108</v>
      </c>
      <c r="D58" s="279"/>
      <c r="E58" s="49">
        <v>8231</v>
      </c>
      <c r="F58" s="279">
        <v>7877</v>
      </c>
      <c r="G58" s="279"/>
      <c r="H58" s="279"/>
      <c r="I58" s="49"/>
      <c r="J58" s="49"/>
      <c r="K58" s="49"/>
      <c r="L58" s="279"/>
      <c r="M58" s="279"/>
      <c r="N58" s="275">
        <f>SUM(O58:V58)</f>
        <v>13735</v>
      </c>
      <c r="O58" s="281">
        <v>5031</v>
      </c>
      <c r="P58" s="49">
        <v>7567</v>
      </c>
      <c r="Q58" s="49">
        <v>1137</v>
      </c>
      <c r="R58" s="49"/>
      <c r="S58" s="49"/>
      <c r="T58" s="49"/>
      <c r="U58" s="136"/>
      <c r="V58" s="34"/>
      <c r="W58" s="418"/>
      <c r="X58" s="418"/>
      <c r="Y58" s="418"/>
      <c r="Z58" s="418"/>
    </row>
    <row r="59" spans="1:26" ht="13.5" customHeight="1">
      <c r="A59" s="354" t="s">
        <v>1446</v>
      </c>
      <c r="B59" s="136" t="s">
        <v>1414</v>
      </c>
      <c r="C59" s="289">
        <f>ROUND(100*C58/C57,1)</f>
        <v>105.5</v>
      </c>
      <c r="D59" s="392"/>
      <c r="E59" s="50">
        <f>ROUND(100*E58/E57,1)</f>
        <v>111.3</v>
      </c>
      <c r="F59" s="392">
        <f>ROUND(100*F58/F57,1)</f>
        <v>100</v>
      </c>
      <c r="G59" s="279"/>
      <c r="H59" s="279"/>
      <c r="I59" s="49"/>
      <c r="J59" s="49"/>
      <c r="K59" s="49"/>
      <c r="L59" s="279"/>
      <c r="M59" s="279"/>
      <c r="N59" s="289">
        <f>ROUND(100*N58/N57,1)</f>
        <v>89.9</v>
      </c>
      <c r="O59" s="391">
        <f>ROUND(100*O58/O57,1)</f>
        <v>100.6</v>
      </c>
      <c r="P59" s="50">
        <f>ROUND(100*P58/P57,1)</f>
        <v>73.7</v>
      </c>
      <c r="Q59" s="49"/>
      <c r="R59" s="49"/>
      <c r="S59" s="49"/>
      <c r="T59" s="49"/>
      <c r="U59" s="136"/>
      <c r="V59" s="34"/>
      <c r="W59" s="418"/>
      <c r="X59" s="418"/>
      <c r="Y59" s="418"/>
      <c r="Z59" s="418"/>
    </row>
    <row r="60" spans="1:26" ht="13.5" customHeight="1">
      <c r="A60" s="259"/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364"/>
      <c r="W60" s="418"/>
      <c r="X60" s="418"/>
      <c r="Y60" s="418"/>
      <c r="Z60" s="418"/>
    </row>
    <row r="61" spans="1:26" ht="13.5" customHeight="1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58"/>
      <c r="W61" s="418"/>
      <c r="X61" s="418"/>
      <c r="Y61" s="418"/>
      <c r="Z61" s="418"/>
    </row>
    <row r="62" spans="1:26" ht="13.5" customHeight="1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58"/>
      <c r="W62" s="418"/>
      <c r="X62" s="418"/>
      <c r="Y62" s="418"/>
      <c r="Z62" s="418"/>
    </row>
    <row r="63" spans="1:26" ht="13.5" customHeight="1">
      <c r="A63" s="58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336" t="s">
        <v>1448</v>
      </c>
      <c r="W63" s="418"/>
      <c r="X63" s="418"/>
      <c r="Y63" s="418"/>
      <c r="Z63" s="418"/>
    </row>
    <row r="64" spans="1:26" ht="13.5" customHeight="1">
      <c r="A64" s="58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W64" s="418"/>
      <c r="X64" s="418"/>
      <c r="Y64" s="418"/>
      <c r="Z64" s="418"/>
    </row>
    <row r="65" spans="1:26" ht="13.5" customHeight="1">
      <c r="A65" s="58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266" t="s">
        <v>1305</v>
      </c>
      <c r="W65" s="418"/>
      <c r="X65" s="418"/>
      <c r="Y65" s="418"/>
      <c r="Z65" s="418"/>
    </row>
    <row r="66" spans="1:22" ht="14.25">
      <c r="A66" s="1071" t="s">
        <v>960</v>
      </c>
      <c r="B66" s="1071"/>
      <c r="C66" s="269" t="s">
        <v>961</v>
      </c>
      <c r="D66" s="269" t="s">
        <v>962</v>
      </c>
      <c r="E66" s="269" t="s">
        <v>963</v>
      </c>
      <c r="F66" s="269" t="s">
        <v>964</v>
      </c>
      <c r="G66" s="269" t="s">
        <v>965</v>
      </c>
      <c r="H66" s="269" t="s">
        <v>966</v>
      </c>
      <c r="I66" s="269" t="s">
        <v>967</v>
      </c>
      <c r="J66" s="269" t="s">
        <v>968</v>
      </c>
      <c r="K66" s="269" t="s">
        <v>969</v>
      </c>
      <c r="L66" s="269" t="s">
        <v>970</v>
      </c>
      <c r="M66" s="269" t="s">
        <v>971</v>
      </c>
      <c r="N66" s="269" t="s">
        <v>972</v>
      </c>
      <c r="O66" s="269" t="s">
        <v>973</v>
      </c>
      <c r="P66" s="269" t="s">
        <v>1480</v>
      </c>
      <c r="Q66" s="269" t="s">
        <v>1481</v>
      </c>
      <c r="R66" s="269" t="s">
        <v>1482</v>
      </c>
      <c r="S66" s="269" t="s">
        <v>1483</v>
      </c>
      <c r="T66" s="269" t="s">
        <v>1484</v>
      </c>
      <c r="U66" s="10" t="s">
        <v>1486</v>
      </c>
      <c r="V66" s="10" t="s">
        <v>1487</v>
      </c>
    </row>
    <row r="67" spans="1:22" ht="13.5" customHeight="1">
      <c r="A67" s="272" t="s">
        <v>1492</v>
      </c>
      <c r="B67" s="259"/>
      <c r="C67" s="271" t="s">
        <v>1406</v>
      </c>
      <c r="D67" s="259" t="s">
        <v>1493</v>
      </c>
      <c r="E67" s="259"/>
      <c r="F67" s="259"/>
      <c r="G67" s="259"/>
      <c r="H67" s="259"/>
      <c r="I67" s="259"/>
      <c r="J67" s="259"/>
      <c r="K67" s="259"/>
      <c r="L67" s="259"/>
      <c r="M67" s="259"/>
      <c r="N67" s="271" t="s">
        <v>1406</v>
      </c>
      <c r="O67" s="259" t="s">
        <v>1494</v>
      </c>
      <c r="P67" s="259"/>
      <c r="Q67" s="259"/>
      <c r="R67" s="259"/>
      <c r="S67" s="259"/>
      <c r="T67" s="259"/>
      <c r="U67" s="259"/>
      <c r="V67" s="476"/>
    </row>
    <row r="68" spans="1:22" ht="13.5" customHeight="1">
      <c r="A68" s="274"/>
      <c r="B68" s="136"/>
      <c r="C68" s="275" t="s">
        <v>1408</v>
      </c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275" t="s">
        <v>1410</v>
      </c>
      <c r="O68" s="277"/>
      <c r="P68" s="277"/>
      <c r="Q68" s="277"/>
      <c r="R68" s="277"/>
      <c r="S68" s="277"/>
      <c r="T68" s="277"/>
      <c r="U68" s="277"/>
      <c r="V68" s="477"/>
    </row>
    <row r="69" spans="1:22" ht="13.5" customHeight="1">
      <c r="A69" s="274"/>
      <c r="B69" s="136"/>
      <c r="C69" s="275" t="s">
        <v>1407</v>
      </c>
      <c r="D69" s="478" t="s">
        <v>1573</v>
      </c>
      <c r="E69" s="479" t="s">
        <v>1573</v>
      </c>
      <c r="F69" s="479" t="s">
        <v>1497</v>
      </c>
      <c r="G69" s="479" t="s">
        <v>1574</v>
      </c>
      <c r="H69" s="479" t="s">
        <v>1573</v>
      </c>
      <c r="I69" s="479" t="s">
        <v>1575</v>
      </c>
      <c r="J69" s="479" t="s">
        <v>1496</v>
      </c>
      <c r="K69" s="479" t="s">
        <v>1406</v>
      </c>
      <c r="L69" s="479" t="s">
        <v>1576</v>
      </c>
      <c r="M69" s="478" t="s">
        <v>1406</v>
      </c>
      <c r="N69" s="275" t="s">
        <v>1409</v>
      </c>
      <c r="O69" s="480" t="s">
        <v>1577</v>
      </c>
      <c r="P69" s="479" t="s">
        <v>1578</v>
      </c>
      <c r="Q69" s="479" t="s">
        <v>1406</v>
      </c>
      <c r="R69" s="479" t="s">
        <v>1406</v>
      </c>
      <c r="S69" s="479" t="s">
        <v>1406</v>
      </c>
      <c r="T69" s="479" t="s">
        <v>1579</v>
      </c>
      <c r="U69" s="481" t="s">
        <v>1406</v>
      </c>
      <c r="V69" s="482" t="s">
        <v>1406</v>
      </c>
    </row>
    <row r="70" spans="1:22" ht="13.5" customHeight="1">
      <c r="A70" s="274"/>
      <c r="B70" s="136"/>
      <c r="C70" s="275" t="s">
        <v>1404</v>
      </c>
      <c r="D70" s="483" t="s">
        <v>1580</v>
      </c>
      <c r="E70" s="484" t="s">
        <v>1580</v>
      </c>
      <c r="F70" s="484" t="s">
        <v>1581</v>
      </c>
      <c r="G70" s="484" t="s">
        <v>1582</v>
      </c>
      <c r="H70" s="484" t="s">
        <v>1583</v>
      </c>
      <c r="I70" s="484" t="s">
        <v>1584</v>
      </c>
      <c r="J70" s="484" t="s">
        <v>1513</v>
      </c>
      <c r="K70" s="484" t="s">
        <v>1583</v>
      </c>
      <c r="L70" s="484" t="s">
        <v>1585</v>
      </c>
      <c r="M70" s="483" t="s">
        <v>1583</v>
      </c>
      <c r="N70" s="275" t="s">
        <v>1404</v>
      </c>
      <c r="O70" s="485" t="s">
        <v>1586</v>
      </c>
      <c r="P70" s="484" t="s">
        <v>1410</v>
      </c>
      <c r="Q70" s="484" t="s">
        <v>1583</v>
      </c>
      <c r="R70" s="484" t="s">
        <v>1583</v>
      </c>
      <c r="S70" s="484" t="s">
        <v>1583</v>
      </c>
      <c r="T70" s="484" t="s">
        <v>1587</v>
      </c>
      <c r="U70" s="481" t="s">
        <v>1410</v>
      </c>
      <c r="V70" s="486" t="s">
        <v>1408</v>
      </c>
    </row>
    <row r="71" spans="1:22" ht="13.5" customHeight="1">
      <c r="A71" s="274"/>
      <c r="B71" s="136"/>
      <c r="C71" s="275"/>
      <c r="D71" s="483" t="s">
        <v>1588</v>
      </c>
      <c r="E71" s="484" t="s">
        <v>1589</v>
      </c>
      <c r="F71" s="484" t="s">
        <v>1545</v>
      </c>
      <c r="G71" s="484" t="s">
        <v>1590</v>
      </c>
      <c r="H71" s="484" t="s">
        <v>1591</v>
      </c>
      <c r="I71" s="484" t="s">
        <v>1592</v>
      </c>
      <c r="J71" s="484" t="s">
        <v>1533</v>
      </c>
      <c r="K71" s="484" t="s">
        <v>1517</v>
      </c>
      <c r="L71" s="484" t="s">
        <v>1593</v>
      </c>
      <c r="M71" s="483" t="s">
        <v>1594</v>
      </c>
      <c r="N71" s="275"/>
      <c r="O71" s="485" t="s">
        <v>1397</v>
      </c>
      <c r="P71" s="484" t="s">
        <v>1409</v>
      </c>
      <c r="Q71" s="484" t="s">
        <v>1547</v>
      </c>
      <c r="R71" s="484" t="s">
        <v>1595</v>
      </c>
      <c r="S71" s="484" t="s">
        <v>1594</v>
      </c>
      <c r="T71" s="484" t="s">
        <v>1596</v>
      </c>
      <c r="U71" s="481" t="s">
        <v>1529</v>
      </c>
      <c r="V71" s="486" t="s">
        <v>1597</v>
      </c>
    </row>
    <row r="72" spans="1:22" ht="13.5" customHeight="1">
      <c r="A72" s="274"/>
      <c r="B72" s="136"/>
      <c r="C72" s="275"/>
      <c r="D72" s="483" t="s">
        <v>1598</v>
      </c>
      <c r="E72" s="484" t="s">
        <v>1534</v>
      </c>
      <c r="F72" s="484" t="s">
        <v>1559</v>
      </c>
      <c r="G72" s="484" t="s">
        <v>1599</v>
      </c>
      <c r="H72" s="484" t="s">
        <v>1600</v>
      </c>
      <c r="I72" s="484" t="s">
        <v>1601</v>
      </c>
      <c r="J72" s="484" t="s">
        <v>1546</v>
      </c>
      <c r="K72" s="484" t="s">
        <v>1535</v>
      </c>
      <c r="L72" s="484" t="s">
        <v>1602</v>
      </c>
      <c r="M72" s="483" t="s">
        <v>1603</v>
      </c>
      <c r="N72" s="275"/>
      <c r="O72" s="485"/>
      <c r="P72" s="484" t="s">
        <v>1586</v>
      </c>
      <c r="Q72" s="484" t="s">
        <v>1604</v>
      </c>
      <c r="R72" s="484" t="s">
        <v>1605</v>
      </c>
      <c r="S72" s="484" t="s">
        <v>1606</v>
      </c>
      <c r="T72" s="484"/>
      <c r="U72" s="481" t="s">
        <v>1607</v>
      </c>
      <c r="V72" s="486" t="s">
        <v>1565</v>
      </c>
    </row>
    <row r="73" spans="1:22" ht="13.5" customHeight="1">
      <c r="A73" s="274"/>
      <c r="B73" s="136"/>
      <c r="C73" s="275"/>
      <c r="D73" s="483" t="s">
        <v>1608</v>
      </c>
      <c r="E73" s="484" t="s">
        <v>1547</v>
      </c>
      <c r="F73" s="484" t="s">
        <v>1563</v>
      </c>
      <c r="G73" s="484" t="s">
        <v>1609</v>
      </c>
      <c r="H73" s="484" t="s">
        <v>1610</v>
      </c>
      <c r="I73" s="484" t="s">
        <v>1580</v>
      </c>
      <c r="J73" s="484" t="s">
        <v>1560</v>
      </c>
      <c r="K73" s="484"/>
      <c r="L73" s="484" t="s">
        <v>1611</v>
      </c>
      <c r="M73" s="483"/>
      <c r="N73" s="275"/>
      <c r="O73" s="485"/>
      <c r="P73" s="484"/>
      <c r="Q73" s="484"/>
      <c r="R73" s="484" t="s">
        <v>1612</v>
      </c>
      <c r="S73" s="484"/>
      <c r="T73" s="484"/>
      <c r="U73" s="481"/>
      <c r="V73" s="179"/>
    </row>
    <row r="74" spans="1:22" ht="13.5" customHeight="1">
      <c r="A74" s="276"/>
      <c r="B74" s="277"/>
      <c r="C74" s="282"/>
      <c r="D74" s="487" t="s">
        <v>1613</v>
      </c>
      <c r="E74" s="488" t="s">
        <v>1561</v>
      </c>
      <c r="F74" s="487"/>
      <c r="G74" s="487"/>
      <c r="H74" s="487"/>
      <c r="I74" s="488" t="s">
        <v>1614</v>
      </c>
      <c r="J74" s="488" t="s">
        <v>1567</v>
      </c>
      <c r="K74" s="488"/>
      <c r="L74" s="487"/>
      <c r="M74" s="487"/>
      <c r="N74" s="282"/>
      <c r="O74" s="489"/>
      <c r="P74" s="488"/>
      <c r="Q74" s="488"/>
      <c r="R74" s="488"/>
      <c r="S74" s="488"/>
      <c r="T74" s="488"/>
      <c r="U74" s="490"/>
      <c r="V74" s="175"/>
    </row>
    <row r="75" spans="1:26" ht="13.5" customHeight="1">
      <c r="A75" s="317" t="s">
        <v>1618</v>
      </c>
      <c r="B75" s="136"/>
      <c r="C75" s="275"/>
      <c r="D75" s="279"/>
      <c r="E75" s="49"/>
      <c r="F75" s="279"/>
      <c r="G75" s="279"/>
      <c r="H75" s="279"/>
      <c r="I75" s="49"/>
      <c r="J75" s="49"/>
      <c r="K75" s="49"/>
      <c r="L75" s="279"/>
      <c r="M75" s="279"/>
      <c r="N75" s="275"/>
      <c r="O75" s="281"/>
      <c r="P75" s="49"/>
      <c r="Q75" s="49"/>
      <c r="R75" s="49"/>
      <c r="S75" s="49"/>
      <c r="T75" s="49"/>
      <c r="U75" s="136"/>
      <c r="V75" s="34"/>
      <c r="W75" s="418"/>
      <c r="X75" s="418"/>
      <c r="Y75" s="418"/>
      <c r="Z75" s="418"/>
    </row>
    <row r="76" spans="1:26" ht="13.5" customHeight="1">
      <c r="A76" s="316" t="s">
        <v>1619</v>
      </c>
      <c r="B76" s="136" t="s">
        <v>1084</v>
      </c>
      <c r="C76" s="275"/>
      <c r="D76" s="279"/>
      <c r="E76" s="49"/>
      <c r="F76" s="279"/>
      <c r="G76" s="279"/>
      <c r="H76" s="279"/>
      <c r="I76" s="49"/>
      <c r="J76" s="49"/>
      <c r="K76" s="49"/>
      <c r="L76" s="279"/>
      <c r="M76" s="279"/>
      <c r="N76" s="275">
        <f>SUM(O76:V76)</f>
        <v>0</v>
      </c>
      <c r="O76" s="281"/>
      <c r="P76" s="49"/>
      <c r="Q76" s="49"/>
      <c r="R76" s="49"/>
      <c r="S76" s="49"/>
      <c r="T76" s="49"/>
      <c r="U76" s="136"/>
      <c r="V76" s="34"/>
      <c r="W76" s="418"/>
      <c r="X76" s="418"/>
      <c r="Y76" s="418"/>
      <c r="Z76" s="418"/>
    </row>
    <row r="77" spans="1:26" ht="13.5" customHeight="1">
      <c r="A77" s="316" t="s">
        <v>1620</v>
      </c>
      <c r="B77" s="136" t="s">
        <v>978</v>
      </c>
      <c r="C77" s="275">
        <f>SUM(D77:M77)</f>
        <v>10082</v>
      </c>
      <c r="D77" s="279"/>
      <c r="E77" s="49"/>
      <c r="F77" s="279">
        <v>1082</v>
      </c>
      <c r="G77" s="279"/>
      <c r="H77" s="279"/>
      <c r="I77" s="49"/>
      <c r="J77" s="49"/>
      <c r="K77" s="49">
        <v>9000</v>
      </c>
      <c r="L77" s="279"/>
      <c r="M77" s="279"/>
      <c r="N77" s="275">
        <f>SUM(O77:V77)</f>
        <v>10082</v>
      </c>
      <c r="O77" s="281"/>
      <c r="P77" s="49">
        <v>10082</v>
      </c>
      <c r="Q77" s="49"/>
      <c r="R77" s="49"/>
      <c r="S77" s="49"/>
      <c r="T77" s="49"/>
      <c r="U77" s="136"/>
      <c r="V77" s="34"/>
      <c r="W77" s="418"/>
      <c r="X77" s="418"/>
      <c r="Y77" s="418"/>
      <c r="Z77" s="418"/>
    </row>
    <row r="78" spans="1:26" ht="13.5" customHeight="1">
      <c r="A78" s="316" t="s">
        <v>1621</v>
      </c>
      <c r="B78" s="136" t="s">
        <v>979</v>
      </c>
      <c r="C78" s="275">
        <f>SUM(D78:M78)</f>
        <v>10082</v>
      </c>
      <c r="D78" s="279"/>
      <c r="E78" s="49"/>
      <c r="F78" s="279">
        <v>1082</v>
      </c>
      <c r="G78" s="279"/>
      <c r="H78" s="279"/>
      <c r="I78" s="49"/>
      <c r="J78" s="49"/>
      <c r="K78" s="49">
        <v>9000</v>
      </c>
      <c r="L78" s="279"/>
      <c r="M78" s="279"/>
      <c r="N78" s="275">
        <f>SUM(O78:V78)</f>
        <v>10382</v>
      </c>
      <c r="O78" s="281">
        <v>9388</v>
      </c>
      <c r="P78" s="49">
        <v>994</v>
      </c>
      <c r="Q78" s="49"/>
      <c r="R78" s="49"/>
      <c r="S78" s="49"/>
      <c r="T78" s="49"/>
      <c r="U78" s="136"/>
      <c r="V78" s="34"/>
      <c r="W78" s="418"/>
      <c r="X78" s="418"/>
      <c r="Y78" s="418"/>
      <c r="Z78" s="418"/>
    </row>
    <row r="79" spans="1:26" ht="13.5" customHeight="1">
      <c r="A79" s="252" t="s">
        <v>1622</v>
      </c>
      <c r="B79" s="136" t="s">
        <v>1414</v>
      </c>
      <c r="C79" s="289">
        <f>ROUND(100*C78/C77,1)</f>
        <v>100</v>
      </c>
      <c r="D79" s="392"/>
      <c r="E79" s="50"/>
      <c r="F79" s="392">
        <f>ROUND(100*F78/F77,1)</f>
        <v>100</v>
      </c>
      <c r="G79" s="392"/>
      <c r="H79" s="392"/>
      <c r="I79" s="50"/>
      <c r="J79" s="50"/>
      <c r="K79" s="50">
        <f>ROUND(100*K78/K77,1)</f>
        <v>100</v>
      </c>
      <c r="L79" s="279"/>
      <c r="M79" s="279"/>
      <c r="N79" s="289">
        <f>ROUND(100*N78/N77,1)</f>
        <v>103</v>
      </c>
      <c r="O79" s="281"/>
      <c r="P79" s="50">
        <f>ROUND(100*P78/P77,1)</f>
        <v>9.9</v>
      </c>
      <c r="Q79" s="49"/>
      <c r="R79" s="49"/>
      <c r="S79" s="49"/>
      <c r="T79" s="49"/>
      <c r="U79" s="136"/>
      <c r="V79" s="34"/>
      <c r="W79" s="418"/>
      <c r="X79" s="418"/>
      <c r="Y79" s="418"/>
      <c r="Z79" s="418"/>
    </row>
    <row r="80" spans="1:26" ht="13.5" customHeight="1">
      <c r="A80" s="524" t="s">
        <v>1623</v>
      </c>
      <c r="B80" s="383"/>
      <c r="C80" s="404"/>
      <c r="D80" s="385"/>
      <c r="E80" s="386"/>
      <c r="F80" s="385"/>
      <c r="G80" s="385"/>
      <c r="H80" s="385"/>
      <c r="I80" s="386"/>
      <c r="J80" s="386"/>
      <c r="K80" s="386"/>
      <c r="L80" s="385"/>
      <c r="M80" s="385"/>
      <c r="N80" s="297"/>
      <c r="O80" s="387"/>
      <c r="P80" s="386"/>
      <c r="Q80" s="386"/>
      <c r="R80" s="386"/>
      <c r="S80" s="386"/>
      <c r="T80" s="386"/>
      <c r="U80" s="383"/>
      <c r="V80" s="325"/>
      <c r="W80" s="418"/>
      <c r="X80" s="418"/>
      <c r="Y80" s="418"/>
      <c r="Z80" s="418"/>
    </row>
    <row r="81" spans="1:26" ht="13.5" customHeight="1">
      <c r="A81" s="252" t="s">
        <v>1042</v>
      </c>
      <c r="B81" s="136" t="s">
        <v>1084</v>
      </c>
      <c r="C81" s="294"/>
      <c r="D81" s="279"/>
      <c r="E81" s="49"/>
      <c r="F81" s="279"/>
      <c r="G81" s="279"/>
      <c r="H81" s="279"/>
      <c r="I81" s="49"/>
      <c r="J81" s="49"/>
      <c r="K81" s="49"/>
      <c r="L81" s="279"/>
      <c r="M81" s="279"/>
      <c r="N81" s="275">
        <f>SUM(O81:V81)</f>
        <v>0</v>
      </c>
      <c r="O81" s="281">
        <f aca="true" t="shared" si="0" ref="O81:V82">SUM(O76,O56)</f>
        <v>0</v>
      </c>
      <c r="P81" s="49">
        <f t="shared" si="0"/>
        <v>0</v>
      </c>
      <c r="Q81" s="49">
        <f t="shared" si="0"/>
        <v>0</v>
      </c>
      <c r="R81" s="49">
        <f t="shared" si="0"/>
        <v>0</v>
      </c>
      <c r="S81" s="49">
        <f t="shared" si="0"/>
        <v>0</v>
      </c>
      <c r="T81" s="49">
        <f t="shared" si="0"/>
        <v>0</v>
      </c>
      <c r="U81" s="136">
        <f t="shared" si="0"/>
        <v>0</v>
      </c>
      <c r="V81" s="34">
        <f t="shared" si="0"/>
        <v>0</v>
      </c>
      <c r="W81" s="418"/>
      <c r="X81" s="418"/>
      <c r="Y81" s="418"/>
      <c r="Z81" s="418"/>
    </row>
    <row r="82" spans="1:26" ht="13.5" customHeight="1">
      <c r="A82" s="252" t="s">
        <v>1045</v>
      </c>
      <c r="B82" s="136" t="s">
        <v>978</v>
      </c>
      <c r="C82" s="275">
        <f>SUM(D82:M82)</f>
        <v>25972</v>
      </c>
      <c r="D82" s="279">
        <f aca="true" t="shared" si="1" ref="D82:M82">SUM(D77,D57)</f>
        <v>0</v>
      </c>
      <c r="E82" s="49">
        <f t="shared" si="1"/>
        <v>7397</v>
      </c>
      <c r="F82" s="279">
        <f>SUM(F77,F57,F52)</f>
        <v>9575</v>
      </c>
      <c r="G82" s="279">
        <f t="shared" si="1"/>
        <v>0</v>
      </c>
      <c r="H82" s="279">
        <f t="shared" si="1"/>
        <v>0</v>
      </c>
      <c r="I82" s="49">
        <f t="shared" si="1"/>
        <v>0</v>
      </c>
      <c r="J82" s="49">
        <f t="shared" si="1"/>
        <v>0</v>
      </c>
      <c r="K82" s="49">
        <f t="shared" si="1"/>
        <v>9000</v>
      </c>
      <c r="L82" s="279">
        <f t="shared" si="1"/>
        <v>0</v>
      </c>
      <c r="M82" s="279">
        <f t="shared" si="1"/>
        <v>0</v>
      </c>
      <c r="N82" s="275">
        <f>SUM(O82:V82)</f>
        <v>25972</v>
      </c>
      <c r="O82" s="274">
        <f t="shared" si="0"/>
        <v>5000</v>
      </c>
      <c r="P82" s="49">
        <f>SUM(P77,P57,P52)</f>
        <v>20972</v>
      </c>
      <c r="Q82" s="49">
        <f t="shared" si="0"/>
        <v>0</v>
      </c>
      <c r="R82" s="49">
        <f t="shared" si="0"/>
        <v>0</v>
      </c>
      <c r="S82" s="49">
        <f t="shared" si="0"/>
        <v>0</v>
      </c>
      <c r="T82" s="49">
        <f t="shared" si="0"/>
        <v>0</v>
      </c>
      <c r="U82" s="136">
        <f t="shared" si="0"/>
        <v>0</v>
      </c>
      <c r="V82" s="34">
        <f t="shared" si="0"/>
        <v>0</v>
      </c>
      <c r="W82" s="418"/>
      <c r="X82" s="418"/>
      <c r="Y82" s="418"/>
      <c r="Z82" s="418"/>
    </row>
    <row r="83" spans="1:26" ht="13.5" customHeight="1">
      <c r="A83" s="252" t="s">
        <v>1048</v>
      </c>
      <c r="B83" s="136" t="s">
        <v>979</v>
      </c>
      <c r="C83" s="294">
        <f>SUM(D83:M83)</f>
        <v>26806</v>
      </c>
      <c r="D83" s="279">
        <f>SUM(D78,D58)</f>
        <v>0</v>
      </c>
      <c r="E83" s="49">
        <f>SUM(E78,E58)</f>
        <v>8231</v>
      </c>
      <c r="F83" s="279">
        <f>SUM(F78,F58,F53)</f>
        <v>9575</v>
      </c>
      <c r="G83" s="279">
        <f aca="true" t="shared" si="2" ref="G83:M83">SUM(G78,G58)</f>
        <v>0</v>
      </c>
      <c r="H83" s="279">
        <f t="shared" si="2"/>
        <v>0</v>
      </c>
      <c r="I83" s="49">
        <f t="shared" si="2"/>
        <v>0</v>
      </c>
      <c r="J83" s="49">
        <f t="shared" si="2"/>
        <v>0</v>
      </c>
      <c r="K83" s="49">
        <f t="shared" si="2"/>
        <v>9000</v>
      </c>
      <c r="L83" s="279">
        <f t="shared" si="2"/>
        <v>0</v>
      </c>
      <c r="M83" s="279">
        <f t="shared" si="2"/>
        <v>0</v>
      </c>
      <c r="N83" s="294">
        <f>SUM(O83:V83)</f>
        <v>24733</v>
      </c>
      <c r="O83" s="281">
        <f>SUM(O78,O58)</f>
        <v>14419</v>
      </c>
      <c r="P83" s="49">
        <f>SUM(P78,P58,P53)</f>
        <v>9177</v>
      </c>
      <c r="Q83" s="49">
        <f aca="true" t="shared" si="3" ref="Q83:V83">SUM(Q78,Q58)</f>
        <v>1137</v>
      </c>
      <c r="R83" s="49">
        <f t="shared" si="3"/>
        <v>0</v>
      </c>
      <c r="S83" s="49">
        <f t="shared" si="3"/>
        <v>0</v>
      </c>
      <c r="T83" s="49">
        <f t="shared" si="3"/>
        <v>0</v>
      </c>
      <c r="U83" s="136">
        <f t="shared" si="3"/>
        <v>0</v>
      </c>
      <c r="V83" s="34">
        <f t="shared" si="3"/>
        <v>0</v>
      </c>
      <c r="W83" s="418"/>
      <c r="X83" s="418"/>
      <c r="Y83" s="418"/>
      <c r="Z83" s="418"/>
    </row>
    <row r="84" spans="1:26" ht="13.5" customHeight="1">
      <c r="A84" s="252" t="s">
        <v>1051</v>
      </c>
      <c r="B84" s="136" t="s">
        <v>1414</v>
      </c>
      <c r="C84" s="289">
        <f>ROUND(100*C83/C82,1)</f>
        <v>103.2</v>
      </c>
      <c r="D84" s="401"/>
      <c r="E84" s="399">
        <f>ROUND(100*E83/E82,1)</f>
        <v>111.3</v>
      </c>
      <c r="F84" s="401">
        <f>ROUND(100*F83/F82,1)</f>
        <v>100</v>
      </c>
      <c r="G84" s="401"/>
      <c r="H84" s="401"/>
      <c r="I84" s="399"/>
      <c r="J84" s="399"/>
      <c r="K84" s="399">
        <f>ROUND(100*K83/K82,1)</f>
        <v>100</v>
      </c>
      <c r="L84" s="279"/>
      <c r="M84" s="279"/>
      <c r="N84" s="289">
        <f>ROUND(100*N83/N82,1)</f>
        <v>95.2</v>
      </c>
      <c r="O84" s="398">
        <f>ROUND(100*O83/O82,1)</f>
        <v>288.4</v>
      </c>
      <c r="P84" s="399">
        <f>ROUND(100*P83/P82,1)</f>
        <v>43.8</v>
      </c>
      <c r="Q84" s="49"/>
      <c r="R84" s="49">
        <f>SUM(R82:R83)</f>
        <v>0</v>
      </c>
      <c r="S84" s="49">
        <f>SUM(S82:S83)</f>
        <v>0</v>
      </c>
      <c r="T84" s="49">
        <f>SUM(T82:T83)</f>
        <v>0</v>
      </c>
      <c r="U84" s="136">
        <f>SUM(U82:U83)</f>
        <v>0</v>
      </c>
      <c r="V84" s="34">
        <f>SUM(V82:V83)</f>
        <v>0</v>
      </c>
      <c r="W84" s="418"/>
      <c r="X84" s="418"/>
      <c r="Y84" s="418"/>
      <c r="Z84" s="418"/>
    </row>
    <row r="85" spans="1:26" ht="13.5" customHeight="1">
      <c r="A85" s="298" t="s">
        <v>1624</v>
      </c>
      <c r="B85" s="383"/>
      <c r="C85" s="297"/>
      <c r="D85" s="385"/>
      <c r="E85" s="386"/>
      <c r="F85" s="385"/>
      <c r="G85" s="385"/>
      <c r="H85" s="385"/>
      <c r="I85" s="386"/>
      <c r="J85" s="386"/>
      <c r="K85" s="386"/>
      <c r="L85" s="385"/>
      <c r="M85" s="385"/>
      <c r="N85" s="297"/>
      <c r="O85" s="387"/>
      <c r="P85" s="386"/>
      <c r="Q85" s="386"/>
      <c r="R85" s="386"/>
      <c r="S85" s="386"/>
      <c r="T85" s="386"/>
      <c r="U85" s="383"/>
      <c r="V85" s="325"/>
      <c r="W85" s="418"/>
      <c r="X85" s="418"/>
      <c r="Y85" s="418"/>
      <c r="Z85" s="418"/>
    </row>
    <row r="86" spans="1:26" ht="13.5" customHeight="1">
      <c r="A86" s="316" t="s">
        <v>1450</v>
      </c>
      <c r="B86" s="136" t="s">
        <v>1084</v>
      </c>
      <c r="C86" s="275"/>
      <c r="D86" s="279"/>
      <c r="E86" s="49"/>
      <c r="F86" s="279"/>
      <c r="G86" s="279"/>
      <c r="H86" s="279"/>
      <c r="I86" s="49"/>
      <c r="J86" s="49"/>
      <c r="K86" s="49"/>
      <c r="L86" s="279"/>
      <c r="M86" s="279"/>
      <c r="N86" s="275"/>
      <c r="O86" s="281"/>
      <c r="P86" s="49"/>
      <c r="Q86" s="49"/>
      <c r="R86" s="49"/>
      <c r="S86" s="49"/>
      <c r="T86" s="49"/>
      <c r="U86" s="136"/>
      <c r="V86" s="34"/>
      <c r="W86" s="418"/>
      <c r="X86" s="418"/>
      <c r="Y86" s="418"/>
      <c r="Z86" s="418"/>
    </row>
    <row r="87" spans="1:26" ht="13.5" customHeight="1">
      <c r="A87" s="252" t="s">
        <v>1451</v>
      </c>
      <c r="B87" s="136" t="s">
        <v>978</v>
      </c>
      <c r="C87" s="275">
        <f>SUM(D87:M87)</f>
        <v>320</v>
      </c>
      <c r="D87" s="279"/>
      <c r="E87" s="49">
        <v>320</v>
      </c>
      <c r="F87" s="279"/>
      <c r="G87" s="279"/>
      <c r="H87" s="279"/>
      <c r="I87" s="49"/>
      <c r="J87" s="49"/>
      <c r="K87" s="49"/>
      <c r="L87" s="279"/>
      <c r="M87" s="279"/>
      <c r="N87" s="275">
        <f>SUM(O87:V87)</f>
        <v>320</v>
      </c>
      <c r="O87" s="281"/>
      <c r="P87" s="49">
        <v>320</v>
      </c>
      <c r="Q87" s="49"/>
      <c r="R87" s="49"/>
      <c r="S87" s="49"/>
      <c r="T87" s="49"/>
      <c r="U87" s="136"/>
      <c r="V87" s="34"/>
      <c r="W87" s="418"/>
      <c r="X87" s="418"/>
      <c r="Y87" s="418"/>
      <c r="Z87" s="418"/>
    </row>
    <row r="88" spans="1:26" ht="13.5" customHeight="1">
      <c r="A88" s="252" t="s">
        <v>1452</v>
      </c>
      <c r="B88" s="136" t="s">
        <v>979</v>
      </c>
      <c r="C88" s="275">
        <f>SUM(D88:M88)</f>
        <v>320</v>
      </c>
      <c r="D88" s="279"/>
      <c r="E88" s="49">
        <v>320</v>
      </c>
      <c r="F88" s="279"/>
      <c r="G88" s="279"/>
      <c r="H88" s="279"/>
      <c r="I88" s="49"/>
      <c r="J88" s="49"/>
      <c r="K88" s="49"/>
      <c r="L88" s="279"/>
      <c r="M88" s="279"/>
      <c r="N88" s="275">
        <f>SUM(O88:V88)</f>
        <v>320</v>
      </c>
      <c r="O88" s="281"/>
      <c r="P88" s="49">
        <v>320</v>
      </c>
      <c r="Q88" s="49"/>
      <c r="R88" s="49"/>
      <c r="S88" s="49"/>
      <c r="T88" s="49"/>
      <c r="U88" s="136"/>
      <c r="V88" s="34"/>
      <c r="W88" s="418"/>
      <c r="X88" s="418"/>
      <c r="Y88" s="418"/>
      <c r="Z88" s="418"/>
    </row>
    <row r="89" spans="1:26" ht="13.5" customHeight="1">
      <c r="A89" s="252" t="s">
        <v>1453</v>
      </c>
      <c r="B89" s="136" t="s">
        <v>1414</v>
      </c>
      <c r="C89" s="289">
        <f>ROUND(100*C88/C87,1)</f>
        <v>100</v>
      </c>
      <c r="D89" s="392"/>
      <c r="E89" s="50">
        <f>ROUND(100*E88/E87,1)</f>
        <v>100</v>
      </c>
      <c r="F89" s="279"/>
      <c r="G89" s="279"/>
      <c r="H89" s="279"/>
      <c r="I89" s="49"/>
      <c r="J89" s="49"/>
      <c r="K89" s="49"/>
      <c r="L89" s="279"/>
      <c r="M89" s="279"/>
      <c r="N89" s="289">
        <f>ROUND(100*N88/N87,1)</f>
        <v>100</v>
      </c>
      <c r="O89" s="281">
        <f>SUM(O87:O88)</f>
        <v>0</v>
      </c>
      <c r="P89" s="50">
        <f>ROUND(100*P88/P87,1)</f>
        <v>100</v>
      </c>
      <c r="Q89" s="49"/>
      <c r="R89" s="49"/>
      <c r="S89" s="49"/>
      <c r="T89" s="49"/>
      <c r="U89" s="136"/>
      <c r="V89" s="34"/>
      <c r="W89" s="418"/>
      <c r="X89" s="418"/>
      <c r="Y89" s="418"/>
      <c r="Z89" s="418"/>
    </row>
    <row r="90" spans="1:26" ht="13.5" customHeight="1">
      <c r="A90" s="89" t="s">
        <v>1625</v>
      </c>
      <c r="B90" s="136"/>
      <c r="C90" s="275"/>
      <c r="D90" s="279"/>
      <c r="E90" s="49"/>
      <c r="F90" s="279"/>
      <c r="G90" s="279"/>
      <c r="H90" s="279"/>
      <c r="I90" s="49"/>
      <c r="J90" s="49"/>
      <c r="K90" s="49"/>
      <c r="L90" s="279"/>
      <c r="M90" s="279"/>
      <c r="N90" s="275"/>
      <c r="O90" s="281"/>
      <c r="P90" s="49"/>
      <c r="Q90" s="49"/>
      <c r="R90" s="49"/>
      <c r="S90" s="49"/>
      <c r="T90" s="49"/>
      <c r="U90" s="136"/>
      <c r="V90" s="34"/>
      <c r="W90" s="418"/>
      <c r="X90" s="418"/>
      <c r="Y90" s="418"/>
      <c r="Z90" s="418"/>
    </row>
    <row r="91" spans="1:26" ht="13.5" customHeight="1">
      <c r="A91" s="316" t="s">
        <v>1113</v>
      </c>
      <c r="B91" s="136" t="s">
        <v>1084</v>
      </c>
      <c r="C91" s="275">
        <f>SUM(D91:M91)</f>
        <v>2615</v>
      </c>
      <c r="D91" s="279"/>
      <c r="E91" s="49">
        <v>2615</v>
      </c>
      <c r="F91" s="279"/>
      <c r="G91" s="279"/>
      <c r="H91" s="279"/>
      <c r="I91" s="49"/>
      <c r="J91" s="49"/>
      <c r="K91" s="49"/>
      <c r="L91" s="279"/>
      <c r="M91" s="279"/>
      <c r="N91" s="275">
        <f>SUM(O91:V91)</f>
        <v>2615</v>
      </c>
      <c r="O91" s="281"/>
      <c r="P91" s="49">
        <v>2615</v>
      </c>
      <c r="Q91" s="49"/>
      <c r="R91" s="49"/>
      <c r="S91" s="49"/>
      <c r="T91" s="49"/>
      <c r="U91" s="136"/>
      <c r="V91" s="34"/>
      <c r="W91" s="418"/>
      <c r="X91" s="418"/>
      <c r="Y91" s="418"/>
      <c r="Z91" s="418"/>
    </row>
    <row r="92" spans="1:26" ht="13.5" customHeight="1">
      <c r="A92" s="252" t="s">
        <v>1115</v>
      </c>
      <c r="B92" s="136" t="s">
        <v>978</v>
      </c>
      <c r="C92" s="275">
        <f>SUM(D92:M92)</f>
        <v>2615</v>
      </c>
      <c r="D92" s="279"/>
      <c r="E92" s="49">
        <v>2615</v>
      </c>
      <c r="F92" s="279"/>
      <c r="G92" s="279"/>
      <c r="H92" s="279"/>
      <c r="I92" s="49"/>
      <c r="J92" s="49"/>
      <c r="K92" s="49"/>
      <c r="L92" s="279"/>
      <c r="M92" s="279"/>
      <c r="N92" s="275">
        <f>SUM(O92:V92)</f>
        <v>2615</v>
      </c>
      <c r="O92" s="281"/>
      <c r="P92" s="49">
        <v>2615</v>
      </c>
      <c r="Q92" s="49"/>
      <c r="R92" s="49"/>
      <c r="S92" s="49"/>
      <c r="T92" s="49"/>
      <c r="U92" s="136"/>
      <c r="V92" s="34"/>
      <c r="W92" s="418"/>
      <c r="X92" s="418"/>
      <c r="Y92" s="418"/>
      <c r="Z92" s="418"/>
    </row>
    <row r="93" spans="1:26" ht="13.5" customHeight="1">
      <c r="A93" s="252" t="s">
        <v>1117</v>
      </c>
      <c r="B93" s="136" t="s">
        <v>979</v>
      </c>
      <c r="C93" s="275">
        <f>SUM(D93:M93)</f>
        <v>2315</v>
      </c>
      <c r="D93" s="279"/>
      <c r="E93" s="49">
        <v>2315</v>
      </c>
      <c r="F93" s="279"/>
      <c r="G93" s="279"/>
      <c r="H93" s="279"/>
      <c r="I93" s="49"/>
      <c r="J93" s="49"/>
      <c r="K93" s="49"/>
      <c r="L93" s="279"/>
      <c r="M93" s="279"/>
      <c r="N93" s="275">
        <f>SUM(O93:V93)</f>
        <v>3063</v>
      </c>
      <c r="O93" s="281"/>
      <c r="P93" s="49">
        <v>3063</v>
      </c>
      <c r="Q93" s="49"/>
      <c r="R93" s="49"/>
      <c r="S93" s="49"/>
      <c r="T93" s="49"/>
      <c r="U93" s="136"/>
      <c r="V93" s="34"/>
      <c r="W93" s="418"/>
      <c r="X93" s="418"/>
      <c r="Y93" s="418"/>
      <c r="Z93" s="418"/>
    </row>
    <row r="94" spans="1:26" ht="13.5" customHeight="1">
      <c r="A94" s="252" t="s">
        <v>1119</v>
      </c>
      <c r="B94" s="136" t="s">
        <v>1414</v>
      </c>
      <c r="C94" s="289">
        <f>ROUND(100*C93/C92,1)</f>
        <v>88.5</v>
      </c>
      <c r="D94" s="279">
        <f aca="true" t="shared" si="4" ref="D94:K94">SUM(D92:D93)</f>
        <v>0</v>
      </c>
      <c r="E94" s="50">
        <f>ROUND(100*E93/E92,1)</f>
        <v>88.5</v>
      </c>
      <c r="F94" s="279">
        <f t="shared" si="4"/>
        <v>0</v>
      </c>
      <c r="G94" s="279">
        <f t="shared" si="4"/>
        <v>0</v>
      </c>
      <c r="H94" s="279">
        <f t="shared" si="4"/>
        <v>0</v>
      </c>
      <c r="I94" s="49">
        <f t="shared" si="4"/>
        <v>0</v>
      </c>
      <c r="J94" s="49">
        <f t="shared" si="4"/>
        <v>0</v>
      </c>
      <c r="K94" s="49">
        <f t="shared" si="4"/>
        <v>0</v>
      </c>
      <c r="L94" s="279"/>
      <c r="M94" s="279"/>
      <c r="N94" s="289">
        <f>ROUND(100*N93/N92,1)</f>
        <v>117.1</v>
      </c>
      <c r="O94" s="281">
        <f aca="true" t="shared" si="5" ref="O94:V94">SUM(O92:O93)</f>
        <v>0</v>
      </c>
      <c r="P94" s="50">
        <f>ROUND(100*P93/P92,1)</f>
        <v>117.1</v>
      </c>
      <c r="Q94" s="49">
        <f t="shared" si="5"/>
        <v>0</v>
      </c>
      <c r="R94" s="49">
        <f t="shared" si="5"/>
        <v>0</v>
      </c>
      <c r="S94" s="49">
        <f t="shared" si="5"/>
        <v>0</v>
      </c>
      <c r="T94" s="49">
        <f t="shared" si="5"/>
        <v>0</v>
      </c>
      <c r="U94" s="136">
        <f t="shared" si="5"/>
        <v>0</v>
      </c>
      <c r="V94" s="34">
        <f t="shared" si="5"/>
        <v>0</v>
      </c>
      <c r="W94" s="418"/>
      <c r="X94" s="418"/>
      <c r="Y94" s="418"/>
      <c r="Z94" s="418"/>
    </row>
    <row r="95" spans="1:26" ht="13.5" customHeight="1">
      <c r="A95" s="524" t="s">
        <v>1626</v>
      </c>
      <c r="B95" s="383"/>
      <c r="C95" s="297"/>
      <c r="D95" s="385"/>
      <c r="E95" s="386"/>
      <c r="F95" s="385"/>
      <c r="G95" s="385"/>
      <c r="H95" s="385"/>
      <c r="I95" s="386"/>
      <c r="J95" s="386"/>
      <c r="K95" s="386"/>
      <c r="L95" s="385"/>
      <c r="M95" s="385"/>
      <c r="N95" s="297"/>
      <c r="O95" s="387"/>
      <c r="P95" s="386"/>
      <c r="Q95" s="386"/>
      <c r="R95" s="386"/>
      <c r="S95" s="386"/>
      <c r="T95" s="386"/>
      <c r="U95" s="383"/>
      <c r="V95" s="325"/>
      <c r="W95" s="418"/>
      <c r="X95" s="418"/>
      <c r="Y95" s="418"/>
      <c r="Z95" s="418"/>
    </row>
    <row r="96" spans="1:26" ht="13.5" customHeight="1">
      <c r="A96" s="252" t="s">
        <v>1146</v>
      </c>
      <c r="B96" s="136" t="s">
        <v>1084</v>
      </c>
      <c r="C96" s="275">
        <f>SUM(D96:M96)</f>
        <v>2615</v>
      </c>
      <c r="D96" s="279"/>
      <c r="E96" s="49">
        <f>SUM(E91)</f>
        <v>2615</v>
      </c>
      <c r="F96" s="279"/>
      <c r="G96" s="279"/>
      <c r="H96" s="279"/>
      <c r="I96" s="49"/>
      <c r="J96" s="49"/>
      <c r="K96" s="49"/>
      <c r="L96" s="279"/>
      <c r="M96" s="279"/>
      <c r="N96" s="275">
        <f>SUM(O96:V96)</f>
        <v>2615</v>
      </c>
      <c r="O96" s="281"/>
      <c r="P96" s="49">
        <f>SUM(P91)</f>
        <v>2615</v>
      </c>
      <c r="Q96" s="49"/>
      <c r="R96" s="49"/>
      <c r="S96" s="49"/>
      <c r="T96" s="49"/>
      <c r="U96" s="136"/>
      <c r="V96" s="34"/>
      <c r="W96" s="418"/>
      <c r="X96" s="418"/>
      <c r="Y96" s="418"/>
      <c r="Z96" s="418"/>
    </row>
    <row r="97" spans="1:26" ht="13.5" customHeight="1">
      <c r="A97" s="252" t="s">
        <v>1148</v>
      </c>
      <c r="B97" s="136" t="s">
        <v>978</v>
      </c>
      <c r="C97" s="275">
        <f>SUM(D97:M97)</f>
        <v>2935</v>
      </c>
      <c r="D97" s="279"/>
      <c r="E97" s="49">
        <f>SUM(E92,E87)</f>
        <v>2935</v>
      </c>
      <c r="F97" s="279"/>
      <c r="G97" s="279"/>
      <c r="H97" s="279"/>
      <c r="I97" s="49"/>
      <c r="J97" s="49"/>
      <c r="K97" s="49"/>
      <c r="L97" s="279"/>
      <c r="M97" s="279"/>
      <c r="N97" s="275">
        <f>SUM(O97:V97)</f>
        <v>2935</v>
      </c>
      <c r="O97" s="281"/>
      <c r="P97" s="49">
        <f>SUM(P92,P87)</f>
        <v>2935</v>
      </c>
      <c r="Q97" s="49"/>
      <c r="R97" s="49"/>
      <c r="S97" s="49"/>
      <c r="T97" s="49"/>
      <c r="U97" s="136"/>
      <c r="V97" s="34"/>
      <c r="W97" s="418"/>
      <c r="X97" s="418"/>
      <c r="Y97" s="418"/>
      <c r="Z97" s="418"/>
    </row>
    <row r="98" spans="1:26" ht="13.5" customHeight="1">
      <c r="A98" s="252" t="s">
        <v>1150</v>
      </c>
      <c r="B98" s="136" t="s">
        <v>979</v>
      </c>
      <c r="C98" s="294">
        <f>SUM(D98:M98)</f>
        <v>2635</v>
      </c>
      <c r="D98" s="279"/>
      <c r="E98" s="49">
        <f>SUM(E93,E88)</f>
        <v>2635</v>
      </c>
      <c r="F98" s="279"/>
      <c r="G98" s="279"/>
      <c r="H98" s="279"/>
      <c r="I98" s="49"/>
      <c r="J98" s="49"/>
      <c r="K98" s="49"/>
      <c r="L98" s="279"/>
      <c r="M98" s="279"/>
      <c r="N98" s="294">
        <f>SUM(O98:V98)</f>
        <v>3383</v>
      </c>
      <c r="O98" s="281"/>
      <c r="P98" s="49">
        <f>SUM(P93,P88)</f>
        <v>3383</v>
      </c>
      <c r="Q98" s="49"/>
      <c r="R98" s="49"/>
      <c r="S98" s="49"/>
      <c r="T98" s="49"/>
      <c r="U98" s="136"/>
      <c r="V98" s="34"/>
      <c r="W98" s="418"/>
      <c r="X98" s="418"/>
      <c r="Y98" s="418"/>
      <c r="Z98" s="418"/>
    </row>
    <row r="99" spans="1:23" ht="13.5" customHeight="1">
      <c r="A99" s="252" t="s">
        <v>1152</v>
      </c>
      <c r="B99" s="136" t="s">
        <v>1414</v>
      </c>
      <c r="C99" s="289">
        <f>ROUND(100*C98/C97,1)</f>
        <v>89.8</v>
      </c>
      <c r="D99" s="525">
        <f aca="true" t="shared" si="6" ref="D99:V99">SUM(D97:D98)</f>
        <v>0</v>
      </c>
      <c r="E99" s="399">
        <f>ROUND(100*E98/E97,1)</f>
        <v>89.8</v>
      </c>
      <c r="F99" s="483">
        <f t="shared" si="6"/>
        <v>0</v>
      </c>
      <c r="G99" s="483">
        <f t="shared" si="6"/>
        <v>0</v>
      </c>
      <c r="H99" s="483">
        <f t="shared" si="6"/>
        <v>0</v>
      </c>
      <c r="I99" s="484">
        <f t="shared" si="6"/>
        <v>0</v>
      </c>
      <c r="J99" s="484">
        <f t="shared" si="6"/>
        <v>0</v>
      </c>
      <c r="K99" s="484">
        <f t="shared" si="6"/>
        <v>0</v>
      </c>
      <c r="L99" s="483">
        <f t="shared" si="6"/>
        <v>0</v>
      </c>
      <c r="M99" s="483">
        <f t="shared" si="6"/>
        <v>0</v>
      </c>
      <c r="N99" s="289">
        <f>ROUND(100*N98/N97,1)</f>
        <v>115.3</v>
      </c>
      <c r="O99" s="526"/>
      <c r="P99" s="399">
        <f>ROUND(100*P98/P97,1)</f>
        <v>115.3</v>
      </c>
      <c r="Q99" s="484">
        <f t="shared" si="6"/>
        <v>0</v>
      </c>
      <c r="R99" s="484">
        <f t="shared" si="6"/>
        <v>0</v>
      </c>
      <c r="S99" s="484">
        <f t="shared" si="6"/>
        <v>0</v>
      </c>
      <c r="T99" s="484">
        <f t="shared" si="6"/>
        <v>0</v>
      </c>
      <c r="U99" s="481">
        <f t="shared" si="6"/>
        <v>0</v>
      </c>
      <c r="V99" s="527">
        <f t="shared" si="6"/>
        <v>0</v>
      </c>
      <c r="W99" s="55"/>
    </row>
    <row r="100" spans="1:23" ht="13.5" customHeight="1">
      <c r="A100" s="295" t="s">
        <v>1461</v>
      </c>
      <c r="B100" s="383"/>
      <c r="C100" s="297"/>
      <c r="D100" s="387"/>
      <c r="E100" s="386"/>
      <c r="F100" s="386"/>
      <c r="G100" s="386"/>
      <c r="H100" s="386"/>
      <c r="I100" s="386"/>
      <c r="J100" s="386"/>
      <c r="K100" s="386"/>
      <c r="L100" s="386"/>
      <c r="M100" s="386"/>
      <c r="N100" s="297"/>
      <c r="O100" s="387"/>
      <c r="P100" s="386"/>
      <c r="Q100" s="386"/>
      <c r="R100" s="386"/>
      <c r="S100" s="386"/>
      <c r="T100" s="386"/>
      <c r="U100" s="383"/>
      <c r="V100" s="246"/>
      <c r="W100" s="55"/>
    </row>
    <row r="101" spans="1:23" ht="13.5" customHeight="1">
      <c r="A101" s="252" t="s">
        <v>1462</v>
      </c>
      <c r="B101" s="136" t="s">
        <v>1084</v>
      </c>
      <c r="C101" s="275">
        <f>SUM(D101:M101)</f>
        <v>322098</v>
      </c>
      <c r="D101" s="281">
        <v>56903</v>
      </c>
      <c r="E101" s="49">
        <v>158137</v>
      </c>
      <c r="F101" s="49"/>
      <c r="G101" s="49"/>
      <c r="H101" s="49"/>
      <c r="I101" s="49">
        <v>4600</v>
      </c>
      <c r="J101" s="49">
        <v>20531</v>
      </c>
      <c r="K101" s="49"/>
      <c r="L101" s="49"/>
      <c r="M101" s="49">
        <v>81927</v>
      </c>
      <c r="N101" s="275">
        <f>SUM(O101:V101)</f>
        <v>322098</v>
      </c>
      <c r="O101" s="281">
        <v>35132</v>
      </c>
      <c r="P101" s="49">
        <v>102791</v>
      </c>
      <c r="Q101" s="49">
        <v>87662</v>
      </c>
      <c r="R101" s="49">
        <v>7934</v>
      </c>
      <c r="S101" s="49">
        <v>6000</v>
      </c>
      <c r="T101" s="49"/>
      <c r="U101" s="136">
        <v>82579</v>
      </c>
      <c r="V101" s="246"/>
      <c r="W101" s="55"/>
    </row>
    <row r="102" spans="1:23" ht="13.5" customHeight="1">
      <c r="A102" s="252" t="s">
        <v>1463</v>
      </c>
      <c r="B102" s="136" t="s">
        <v>978</v>
      </c>
      <c r="C102" s="275">
        <f>SUM(D102:M102)</f>
        <v>558860</v>
      </c>
      <c r="D102" s="281">
        <v>8833</v>
      </c>
      <c r="E102" s="49">
        <v>131844</v>
      </c>
      <c r="F102" s="49"/>
      <c r="G102" s="49"/>
      <c r="H102" s="49"/>
      <c r="I102" s="49">
        <v>4742</v>
      </c>
      <c r="J102" s="49">
        <v>79545</v>
      </c>
      <c r="K102" s="49">
        <v>127466</v>
      </c>
      <c r="L102" s="49">
        <v>61749</v>
      </c>
      <c r="M102" s="49">
        <v>144681</v>
      </c>
      <c r="N102" s="275">
        <f>SUM(O102:V102)</f>
        <v>558860</v>
      </c>
      <c r="O102" s="281">
        <v>46666</v>
      </c>
      <c r="P102" s="49">
        <v>129676</v>
      </c>
      <c r="Q102" s="49">
        <v>50509</v>
      </c>
      <c r="R102" s="49">
        <v>7934</v>
      </c>
      <c r="S102" s="49">
        <v>27610</v>
      </c>
      <c r="T102" s="49"/>
      <c r="U102" s="136"/>
      <c r="V102" s="34">
        <v>296465</v>
      </c>
      <c r="W102" s="55"/>
    </row>
    <row r="103" spans="1:23" ht="13.5" customHeight="1">
      <c r="A103" s="252" t="s">
        <v>1464</v>
      </c>
      <c r="B103" s="136" t="s">
        <v>979</v>
      </c>
      <c r="C103" s="275">
        <f>SUM(D103:M103)</f>
        <v>436262</v>
      </c>
      <c r="D103" s="281">
        <v>18160</v>
      </c>
      <c r="E103" s="49">
        <v>138599</v>
      </c>
      <c r="F103" s="49"/>
      <c r="G103" s="49">
        <v>6001</v>
      </c>
      <c r="H103" s="49"/>
      <c r="I103" s="49">
        <v>4742</v>
      </c>
      <c r="J103" s="49">
        <v>79545</v>
      </c>
      <c r="K103" s="49">
        <v>127466</v>
      </c>
      <c r="L103" s="49">
        <v>61749</v>
      </c>
      <c r="M103" s="49"/>
      <c r="N103" s="275">
        <f>SUM(O103:V103)</f>
        <v>554017</v>
      </c>
      <c r="O103" s="281">
        <v>46666</v>
      </c>
      <c r="P103" s="49">
        <v>129676</v>
      </c>
      <c r="Q103" s="49">
        <v>48655</v>
      </c>
      <c r="R103" s="49">
        <v>7934</v>
      </c>
      <c r="S103" s="49">
        <v>24621</v>
      </c>
      <c r="T103" s="49"/>
      <c r="U103" s="56"/>
      <c r="V103" s="34">
        <v>296465</v>
      </c>
      <c r="W103" s="55"/>
    </row>
    <row r="104" spans="1:23" ht="13.5" customHeight="1">
      <c r="A104" s="252" t="s">
        <v>1465</v>
      </c>
      <c r="B104" s="136" t="s">
        <v>1414</v>
      </c>
      <c r="C104" s="289">
        <f aca="true" t="shared" si="7" ref="C104:L104">ROUND(100*C103/C102,1)</f>
        <v>78.1</v>
      </c>
      <c r="D104" s="391">
        <f t="shared" si="7"/>
        <v>205.6</v>
      </c>
      <c r="E104" s="50">
        <f t="shared" si="7"/>
        <v>105.1</v>
      </c>
      <c r="F104" s="50"/>
      <c r="G104" s="50"/>
      <c r="H104" s="50"/>
      <c r="I104" s="50">
        <f t="shared" si="7"/>
        <v>100</v>
      </c>
      <c r="J104" s="50">
        <f t="shared" si="7"/>
        <v>100</v>
      </c>
      <c r="K104" s="50">
        <f t="shared" si="7"/>
        <v>100</v>
      </c>
      <c r="L104" s="50">
        <f t="shared" si="7"/>
        <v>100</v>
      </c>
      <c r="M104" s="50"/>
      <c r="N104" s="289">
        <f aca="true" t="shared" si="8" ref="N104:S104">ROUND(100*N103/N102,1)</f>
        <v>99.1</v>
      </c>
      <c r="O104" s="391">
        <f t="shared" si="8"/>
        <v>100</v>
      </c>
      <c r="P104" s="50">
        <f t="shared" si="8"/>
        <v>100</v>
      </c>
      <c r="Q104" s="50">
        <f t="shared" si="8"/>
        <v>96.3</v>
      </c>
      <c r="R104" s="50">
        <f t="shared" si="8"/>
        <v>100</v>
      </c>
      <c r="S104" s="50">
        <f t="shared" si="8"/>
        <v>89.2</v>
      </c>
      <c r="T104" s="50"/>
      <c r="U104" s="393"/>
      <c r="V104" s="54">
        <f>ROUND(100*V103/V102,1)</f>
        <v>100</v>
      </c>
      <c r="W104" s="55"/>
    </row>
    <row r="105" spans="1:23" ht="13.5" customHeight="1">
      <c r="A105" s="89" t="s">
        <v>1627</v>
      </c>
      <c r="B105" s="136"/>
      <c r="C105" s="294"/>
      <c r="D105" s="281"/>
      <c r="E105" s="49"/>
      <c r="F105" s="49"/>
      <c r="G105" s="49"/>
      <c r="H105" s="49"/>
      <c r="I105" s="49"/>
      <c r="J105" s="49"/>
      <c r="K105" s="49"/>
      <c r="L105" s="49"/>
      <c r="M105" s="49"/>
      <c r="N105" s="294"/>
      <c r="O105" s="281"/>
      <c r="P105" s="49"/>
      <c r="Q105" s="49"/>
      <c r="R105" s="49"/>
      <c r="S105" s="49"/>
      <c r="T105" s="49"/>
      <c r="U105" s="56"/>
      <c r="V105" s="34"/>
      <c r="W105" s="55"/>
    </row>
    <row r="106" spans="1:23" ht="13.5" customHeight="1">
      <c r="A106" s="316" t="s">
        <v>1467</v>
      </c>
      <c r="B106" s="136" t="s">
        <v>1084</v>
      </c>
      <c r="C106" s="294"/>
      <c r="D106" s="281"/>
      <c r="E106" s="49"/>
      <c r="F106" s="49"/>
      <c r="G106" s="49"/>
      <c r="H106" s="49"/>
      <c r="I106" s="49"/>
      <c r="J106" s="49"/>
      <c r="K106" s="49"/>
      <c r="L106" s="49"/>
      <c r="M106" s="49"/>
      <c r="N106" s="294"/>
      <c r="O106" s="281"/>
      <c r="P106" s="49"/>
      <c r="Q106" s="49"/>
      <c r="R106" s="49"/>
      <c r="S106" s="49"/>
      <c r="T106" s="49"/>
      <c r="U106" s="56"/>
      <c r="V106" s="34"/>
      <c r="W106" s="55"/>
    </row>
    <row r="107" spans="1:23" ht="13.5" customHeight="1">
      <c r="A107" s="252" t="s">
        <v>1468</v>
      </c>
      <c r="B107" s="136" t="s">
        <v>978</v>
      </c>
      <c r="C107" s="294">
        <f>SUM(D107:M107)</f>
        <v>125</v>
      </c>
      <c r="D107" s="281"/>
      <c r="E107" s="49"/>
      <c r="F107" s="49"/>
      <c r="G107" s="49"/>
      <c r="H107" s="49"/>
      <c r="I107" s="49"/>
      <c r="J107" s="49"/>
      <c r="K107" s="49"/>
      <c r="L107" s="49"/>
      <c r="M107" s="49">
        <v>125</v>
      </c>
      <c r="N107" s="275">
        <f>SUM(O107:V107)</f>
        <v>125</v>
      </c>
      <c r="O107" s="281"/>
      <c r="P107" s="49">
        <v>125</v>
      </c>
      <c r="Q107" s="49"/>
      <c r="R107" s="49"/>
      <c r="S107" s="49"/>
      <c r="T107" s="49"/>
      <c r="U107" s="56"/>
      <c r="V107" s="34"/>
      <c r="W107" s="55"/>
    </row>
    <row r="108" spans="1:23" ht="13.5" customHeight="1">
      <c r="A108" s="252" t="s">
        <v>1469</v>
      </c>
      <c r="B108" s="136" t="s">
        <v>979</v>
      </c>
      <c r="C108" s="275">
        <f>SUM(D108:M108)</f>
        <v>0</v>
      </c>
      <c r="D108" s="281"/>
      <c r="E108" s="49"/>
      <c r="F108" s="49"/>
      <c r="G108" s="49"/>
      <c r="H108" s="49"/>
      <c r="I108" s="49"/>
      <c r="J108" s="49"/>
      <c r="K108" s="49"/>
      <c r="L108" s="49"/>
      <c r="M108" s="49"/>
      <c r="N108" s="275">
        <f>SUM(O108:V108)</f>
        <v>125</v>
      </c>
      <c r="O108" s="281"/>
      <c r="P108" s="49">
        <v>125</v>
      </c>
      <c r="Q108" s="49"/>
      <c r="R108" s="49"/>
      <c r="S108" s="49"/>
      <c r="T108" s="49"/>
      <c r="U108" s="56"/>
      <c r="V108" s="34"/>
      <c r="W108" s="55"/>
    </row>
    <row r="109" spans="1:23" ht="13.5" customHeight="1">
      <c r="A109" s="252" t="s">
        <v>1470</v>
      </c>
      <c r="B109" s="136" t="s">
        <v>1414</v>
      </c>
      <c r="C109" s="289"/>
      <c r="D109" s="281"/>
      <c r="E109" s="49"/>
      <c r="F109" s="49"/>
      <c r="G109" s="49"/>
      <c r="H109" s="49"/>
      <c r="I109" s="49"/>
      <c r="J109" s="49"/>
      <c r="K109" s="49"/>
      <c r="L109" s="49"/>
      <c r="M109" s="50"/>
      <c r="N109" s="289">
        <f>ROUND(100*N108/N107,1)</f>
        <v>100</v>
      </c>
      <c r="O109" s="281"/>
      <c r="P109" s="50">
        <f>ROUND(100*P108/P107,1)</f>
        <v>100</v>
      </c>
      <c r="Q109" s="49"/>
      <c r="R109" s="49"/>
      <c r="S109" s="49"/>
      <c r="T109" s="49"/>
      <c r="U109" s="56"/>
      <c r="V109" s="34"/>
      <c r="W109" s="55"/>
    </row>
    <row r="110" spans="1:23" ht="13.5" customHeight="1">
      <c r="A110" s="524" t="s">
        <v>1476</v>
      </c>
      <c r="B110" s="383"/>
      <c r="C110" s="297"/>
      <c r="D110" s="387"/>
      <c r="E110" s="386"/>
      <c r="F110" s="386"/>
      <c r="G110" s="386"/>
      <c r="H110" s="386"/>
      <c r="I110" s="386"/>
      <c r="J110" s="386"/>
      <c r="K110" s="386"/>
      <c r="L110" s="386"/>
      <c r="M110" s="386"/>
      <c r="N110" s="297"/>
      <c r="O110" s="387"/>
      <c r="P110" s="386"/>
      <c r="Q110" s="386"/>
      <c r="R110" s="386"/>
      <c r="S110" s="386"/>
      <c r="T110" s="386"/>
      <c r="U110" s="397"/>
      <c r="V110" s="312"/>
      <c r="W110" s="55"/>
    </row>
    <row r="111" spans="1:23" ht="13.5" customHeight="1">
      <c r="A111" s="316" t="s">
        <v>1234</v>
      </c>
      <c r="B111" s="136" t="s">
        <v>1084</v>
      </c>
      <c r="C111" s="275">
        <f>SUM(D111:M111)</f>
        <v>322098</v>
      </c>
      <c r="D111" s="281">
        <f>SUM(D101)</f>
        <v>56903</v>
      </c>
      <c r="E111" s="49">
        <f aca="true" t="shared" si="9" ref="E111:U111">SUM(E101)</f>
        <v>158137</v>
      </c>
      <c r="F111" s="49">
        <f t="shared" si="9"/>
        <v>0</v>
      </c>
      <c r="G111" s="49">
        <f t="shared" si="9"/>
        <v>0</v>
      </c>
      <c r="H111" s="49">
        <f t="shared" si="9"/>
        <v>0</v>
      </c>
      <c r="I111" s="49">
        <f t="shared" si="9"/>
        <v>4600</v>
      </c>
      <c r="J111" s="49">
        <f t="shared" si="9"/>
        <v>20531</v>
      </c>
      <c r="K111" s="49">
        <f t="shared" si="9"/>
        <v>0</v>
      </c>
      <c r="L111" s="49"/>
      <c r="M111" s="49">
        <f t="shared" si="9"/>
        <v>81927</v>
      </c>
      <c r="N111" s="275">
        <f>SUM(O111:V111)</f>
        <v>322098</v>
      </c>
      <c r="O111" s="281">
        <f t="shared" si="9"/>
        <v>35132</v>
      </c>
      <c r="P111" s="49">
        <f t="shared" si="9"/>
        <v>102791</v>
      </c>
      <c r="Q111" s="49">
        <f t="shared" si="9"/>
        <v>87662</v>
      </c>
      <c r="R111" s="49">
        <f t="shared" si="9"/>
        <v>7934</v>
      </c>
      <c r="S111" s="49">
        <f t="shared" si="9"/>
        <v>6000</v>
      </c>
      <c r="T111" s="49">
        <f t="shared" si="9"/>
        <v>0</v>
      </c>
      <c r="U111" s="56">
        <f t="shared" si="9"/>
        <v>82579</v>
      </c>
      <c r="V111" s="246"/>
      <c r="W111" s="55"/>
    </row>
    <row r="112" spans="1:23" ht="13.5" customHeight="1">
      <c r="A112" s="252" t="s">
        <v>1237</v>
      </c>
      <c r="B112" s="136" t="s">
        <v>978</v>
      </c>
      <c r="C112" s="275">
        <f>SUM(D112:M112)</f>
        <v>558985</v>
      </c>
      <c r="D112" s="281">
        <f>SUM(D102)</f>
        <v>8833</v>
      </c>
      <c r="E112" s="49">
        <f aca="true" t="shared" si="10" ref="E112:T112">SUM(E102)</f>
        <v>131844</v>
      </c>
      <c r="F112" s="49">
        <f t="shared" si="10"/>
        <v>0</v>
      </c>
      <c r="G112" s="49">
        <f t="shared" si="10"/>
        <v>0</v>
      </c>
      <c r="H112" s="49">
        <f t="shared" si="10"/>
        <v>0</v>
      </c>
      <c r="I112" s="49">
        <f t="shared" si="10"/>
        <v>4742</v>
      </c>
      <c r="J112" s="49">
        <f t="shared" si="10"/>
        <v>79545</v>
      </c>
      <c r="K112" s="49">
        <f t="shared" si="10"/>
        <v>127466</v>
      </c>
      <c r="L112" s="49">
        <f>SUM(L102)</f>
        <v>61749</v>
      </c>
      <c r="M112" s="49">
        <f>SUM(M102,M107)</f>
        <v>144806</v>
      </c>
      <c r="N112" s="275">
        <f>SUM(O112:V112)</f>
        <v>558985</v>
      </c>
      <c r="O112" s="281">
        <f>SUM(O102)</f>
        <v>46666</v>
      </c>
      <c r="P112" s="49">
        <f>SUM(P102,P107)</f>
        <v>129801</v>
      </c>
      <c r="Q112" s="49">
        <f t="shared" si="10"/>
        <v>50509</v>
      </c>
      <c r="R112" s="49">
        <f t="shared" si="10"/>
        <v>7934</v>
      </c>
      <c r="S112" s="49">
        <f t="shared" si="10"/>
        <v>27610</v>
      </c>
      <c r="T112" s="49">
        <f t="shared" si="10"/>
        <v>0</v>
      </c>
      <c r="U112" s="56">
        <f>SUM(U102)</f>
        <v>0</v>
      </c>
      <c r="V112" s="34">
        <f>SUM(V102)</f>
        <v>296465</v>
      </c>
      <c r="W112" s="55"/>
    </row>
    <row r="113" spans="1:23" ht="13.5" customHeight="1">
      <c r="A113" s="316" t="s">
        <v>1239</v>
      </c>
      <c r="B113" s="136" t="s">
        <v>979</v>
      </c>
      <c r="C113" s="294">
        <f>SUM(D113:M113)</f>
        <v>436262</v>
      </c>
      <c r="D113" s="281">
        <f>SUM(D103)</f>
        <v>18160</v>
      </c>
      <c r="E113" s="49">
        <f aca="true" t="shared" si="11" ref="E113:K113">SUM(E103)</f>
        <v>138599</v>
      </c>
      <c r="F113" s="49">
        <f t="shared" si="11"/>
        <v>0</v>
      </c>
      <c r="G113" s="49">
        <f t="shared" si="11"/>
        <v>6001</v>
      </c>
      <c r="H113" s="49">
        <f t="shared" si="11"/>
        <v>0</v>
      </c>
      <c r="I113" s="49">
        <f t="shared" si="11"/>
        <v>4742</v>
      </c>
      <c r="J113" s="49">
        <f t="shared" si="11"/>
        <v>79545</v>
      </c>
      <c r="K113" s="49">
        <f t="shared" si="11"/>
        <v>127466</v>
      </c>
      <c r="L113" s="49">
        <f>SUM(L103)</f>
        <v>61749</v>
      </c>
      <c r="M113" s="49">
        <f>SUM(M103,M108)</f>
        <v>0</v>
      </c>
      <c r="N113" s="294">
        <f>SUM(O113:V113)</f>
        <v>554142</v>
      </c>
      <c r="O113" s="281">
        <f>SUM(O103)</f>
        <v>46666</v>
      </c>
      <c r="P113" s="49">
        <f>SUM(P103,P108)</f>
        <v>129801</v>
      </c>
      <c r="Q113" s="49">
        <f>SUM(Q103)</f>
        <v>48655</v>
      </c>
      <c r="R113" s="49">
        <f>SUM(R103)</f>
        <v>7934</v>
      </c>
      <c r="S113" s="49">
        <f>SUM(S103)</f>
        <v>24621</v>
      </c>
      <c r="T113" s="49">
        <f>SUM(T103)</f>
        <v>0</v>
      </c>
      <c r="U113" s="56">
        <f>SUM(U103)</f>
        <v>0</v>
      </c>
      <c r="V113" s="34">
        <f>SUM(V103)</f>
        <v>296465</v>
      </c>
      <c r="W113" s="55"/>
    </row>
    <row r="114" spans="1:23" ht="13.5" customHeight="1">
      <c r="A114" s="303" t="s">
        <v>1242</v>
      </c>
      <c r="B114" s="511" t="s">
        <v>1414</v>
      </c>
      <c r="C114" s="289">
        <f>ROUND(100*C113/C112,1)</f>
        <v>78</v>
      </c>
      <c r="D114" s="398">
        <f>ROUND(100*D113/D112,1)</f>
        <v>205.6</v>
      </c>
      <c r="E114" s="399">
        <f>ROUND(100*E113/E112,1)</f>
        <v>105.1</v>
      </c>
      <c r="F114" s="399"/>
      <c r="G114" s="399"/>
      <c r="H114" s="399"/>
      <c r="I114" s="399">
        <f aca="true" t="shared" si="12" ref="I114:S114">ROUND(100*I113/I112,1)</f>
        <v>100</v>
      </c>
      <c r="J114" s="399">
        <f t="shared" si="12"/>
        <v>100</v>
      </c>
      <c r="K114" s="399">
        <f t="shared" si="12"/>
        <v>100</v>
      </c>
      <c r="L114" s="399">
        <f t="shared" si="12"/>
        <v>100</v>
      </c>
      <c r="M114" s="399"/>
      <c r="N114" s="289">
        <f t="shared" si="12"/>
        <v>99.1</v>
      </c>
      <c r="O114" s="398">
        <f t="shared" si="12"/>
        <v>100</v>
      </c>
      <c r="P114" s="399">
        <f t="shared" si="12"/>
        <v>100</v>
      </c>
      <c r="Q114" s="399">
        <f t="shared" si="12"/>
        <v>96.3</v>
      </c>
      <c r="R114" s="399">
        <f t="shared" si="12"/>
        <v>100</v>
      </c>
      <c r="S114" s="399">
        <f t="shared" si="12"/>
        <v>89.2</v>
      </c>
      <c r="T114" s="528"/>
      <c r="U114" s="529"/>
      <c r="V114" s="456">
        <f>ROUND(100*V113/V112,1)</f>
        <v>100</v>
      </c>
      <c r="W114" s="55"/>
    </row>
    <row r="115" spans="1:23" ht="13.5" customHeight="1">
      <c r="A115" s="530" t="s">
        <v>1628</v>
      </c>
      <c r="B115" s="136"/>
      <c r="C115" s="297"/>
      <c r="D115" s="387"/>
      <c r="E115" s="386"/>
      <c r="F115" s="386"/>
      <c r="G115" s="386"/>
      <c r="H115" s="386"/>
      <c r="I115" s="386"/>
      <c r="J115" s="386"/>
      <c r="K115" s="386"/>
      <c r="L115" s="386"/>
      <c r="M115" s="386"/>
      <c r="N115" s="297"/>
      <c r="O115" s="387"/>
      <c r="P115" s="386"/>
      <c r="Q115" s="386"/>
      <c r="R115" s="386"/>
      <c r="S115" s="386"/>
      <c r="T115" s="49"/>
      <c r="U115" s="56"/>
      <c r="V115" s="34"/>
      <c r="W115" s="55"/>
    </row>
    <row r="116" spans="1:23" ht="12.75" customHeight="1">
      <c r="A116" s="252" t="s">
        <v>1258</v>
      </c>
      <c r="B116" s="136" t="s">
        <v>1084</v>
      </c>
      <c r="C116" s="294">
        <f>SUM(D116:M116)</f>
        <v>324713</v>
      </c>
      <c r="D116" s="281">
        <f aca="true" t="shared" si="13" ref="D116:M116">SUM(D111,D96,D81,D46)</f>
        <v>56903</v>
      </c>
      <c r="E116" s="49">
        <f t="shared" si="13"/>
        <v>160752</v>
      </c>
      <c r="F116" s="49">
        <f t="shared" si="13"/>
        <v>0</v>
      </c>
      <c r="G116" s="49">
        <f t="shared" si="13"/>
        <v>0</v>
      </c>
      <c r="H116" s="49">
        <f t="shared" si="13"/>
        <v>0</v>
      </c>
      <c r="I116" s="49">
        <f t="shared" si="13"/>
        <v>4600</v>
      </c>
      <c r="J116" s="49">
        <f t="shared" si="13"/>
        <v>20531</v>
      </c>
      <c r="K116" s="49">
        <f t="shared" si="13"/>
        <v>0</v>
      </c>
      <c r="L116" s="49">
        <f t="shared" si="13"/>
        <v>0</v>
      </c>
      <c r="M116" s="49">
        <f t="shared" si="13"/>
        <v>81927</v>
      </c>
      <c r="N116" s="294">
        <f>SUM(O116:V116)</f>
        <v>324713</v>
      </c>
      <c r="O116" s="281">
        <f aca="true" t="shared" si="14" ref="O116:V118">SUM(O111,O96,O81,O46)</f>
        <v>35132</v>
      </c>
      <c r="P116" s="49">
        <f t="shared" si="14"/>
        <v>105406</v>
      </c>
      <c r="Q116" s="49">
        <f t="shared" si="14"/>
        <v>87662</v>
      </c>
      <c r="R116" s="49">
        <f t="shared" si="14"/>
        <v>7934</v>
      </c>
      <c r="S116" s="49">
        <f t="shared" si="14"/>
        <v>6000</v>
      </c>
      <c r="T116" s="49">
        <f t="shared" si="14"/>
        <v>0</v>
      </c>
      <c r="U116" s="56">
        <f t="shared" si="14"/>
        <v>82579</v>
      </c>
      <c r="V116" s="34">
        <f t="shared" si="14"/>
        <v>0</v>
      </c>
      <c r="W116" s="55"/>
    </row>
    <row r="117" spans="1:23" ht="12.75" customHeight="1">
      <c r="A117" s="252" t="s">
        <v>1260</v>
      </c>
      <c r="B117" s="136" t="s">
        <v>978</v>
      </c>
      <c r="C117" s="294">
        <f>SUM(D117:M117)</f>
        <v>592332</v>
      </c>
      <c r="D117" s="281">
        <f aca="true" t="shared" si="15" ref="D117:M117">SUM(D112,D97,D82,D47)</f>
        <v>8833</v>
      </c>
      <c r="E117" s="49">
        <f t="shared" si="15"/>
        <v>142176</v>
      </c>
      <c r="F117" s="49">
        <f>SUM(F112,F97,F82,F47)</f>
        <v>14015</v>
      </c>
      <c r="G117" s="49">
        <f t="shared" si="15"/>
        <v>0</v>
      </c>
      <c r="H117" s="49">
        <f t="shared" si="15"/>
        <v>0</v>
      </c>
      <c r="I117" s="49">
        <f t="shared" si="15"/>
        <v>4742</v>
      </c>
      <c r="J117" s="49">
        <f t="shared" si="15"/>
        <v>79545</v>
      </c>
      <c r="K117" s="49">
        <f t="shared" si="15"/>
        <v>136466</v>
      </c>
      <c r="L117" s="49">
        <f t="shared" si="15"/>
        <v>61749</v>
      </c>
      <c r="M117" s="49">
        <f t="shared" si="15"/>
        <v>144806</v>
      </c>
      <c r="N117" s="294">
        <f>SUM(O117:V117)</f>
        <v>592332</v>
      </c>
      <c r="O117" s="281">
        <f t="shared" si="14"/>
        <v>51666</v>
      </c>
      <c r="P117" s="49">
        <f t="shared" si="14"/>
        <v>158148</v>
      </c>
      <c r="Q117" s="49">
        <f t="shared" si="14"/>
        <v>50509</v>
      </c>
      <c r="R117" s="49">
        <f t="shared" si="14"/>
        <v>7934</v>
      </c>
      <c r="S117" s="49">
        <f t="shared" si="14"/>
        <v>27610</v>
      </c>
      <c r="T117" s="49">
        <f t="shared" si="14"/>
        <v>0</v>
      </c>
      <c r="U117" s="56">
        <f t="shared" si="14"/>
        <v>0</v>
      </c>
      <c r="V117" s="34">
        <f t="shared" si="14"/>
        <v>296465</v>
      </c>
      <c r="W117" s="55"/>
    </row>
    <row r="118" spans="1:23" ht="12.75" customHeight="1">
      <c r="A118" s="316" t="s">
        <v>1262</v>
      </c>
      <c r="B118" s="136" t="s">
        <v>979</v>
      </c>
      <c r="C118" s="294">
        <f>SUM(D118:M118)</f>
        <v>470143</v>
      </c>
      <c r="D118" s="281">
        <f aca="true" t="shared" si="16" ref="D118:M118">SUM(D113,D98,D83,D48)</f>
        <v>18160</v>
      </c>
      <c r="E118" s="49">
        <f t="shared" si="16"/>
        <v>149465</v>
      </c>
      <c r="F118" s="49">
        <f t="shared" si="16"/>
        <v>14015</v>
      </c>
      <c r="G118" s="49">
        <f t="shared" si="16"/>
        <v>6001</v>
      </c>
      <c r="H118" s="49">
        <f t="shared" si="16"/>
        <v>0</v>
      </c>
      <c r="I118" s="49">
        <f t="shared" si="16"/>
        <v>4742</v>
      </c>
      <c r="J118" s="49">
        <f t="shared" si="16"/>
        <v>79545</v>
      </c>
      <c r="K118" s="49">
        <f t="shared" si="16"/>
        <v>136466</v>
      </c>
      <c r="L118" s="49">
        <f t="shared" si="16"/>
        <v>61749</v>
      </c>
      <c r="M118" s="49">
        <f t="shared" si="16"/>
        <v>0</v>
      </c>
      <c r="N118" s="294">
        <f>SUM(O118:V118)</f>
        <v>588316</v>
      </c>
      <c r="O118" s="281">
        <f t="shared" si="14"/>
        <v>61085</v>
      </c>
      <c r="P118" s="49">
        <f t="shared" si="14"/>
        <v>148419</v>
      </c>
      <c r="Q118" s="49">
        <f t="shared" si="14"/>
        <v>49792</v>
      </c>
      <c r="R118" s="49">
        <f t="shared" si="14"/>
        <v>7934</v>
      </c>
      <c r="S118" s="49">
        <f t="shared" si="14"/>
        <v>24621</v>
      </c>
      <c r="T118" s="53">
        <f t="shared" si="14"/>
        <v>0</v>
      </c>
      <c r="U118" s="379">
        <f t="shared" si="14"/>
        <v>0</v>
      </c>
      <c r="V118" s="34">
        <f t="shared" si="14"/>
        <v>296465</v>
      </c>
      <c r="W118" s="55"/>
    </row>
    <row r="119" spans="1:23" ht="15">
      <c r="A119" s="354" t="s">
        <v>1264</v>
      </c>
      <c r="B119" s="278" t="s">
        <v>1414</v>
      </c>
      <c r="C119" s="531">
        <f>ROUND(100*C118/C117,1)</f>
        <v>79.4</v>
      </c>
      <c r="D119" s="532">
        <f>ROUND(100*D118/D117,1)</f>
        <v>205.6</v>
      </c>
      <c r="E119" s="533">
        <f>ROUND(100*E118/E117,1)</f>
        <v>105.1</v>
      </c>
      <c r="F119" s="533">
        <f>ROUND(100*F118/F117,1)</f>
        <v>100</v>
      </c>
      <c r="G119" s="534"/>
      <c r="H119" s="534"/>
      <c r="I119" s="533">
        <f aca="true" t="shared" si="17" ref="I119:S119">ROUND(100*I118/I117,1)</f>
        <v>100</v>
      </c>
      <c r="J119" s="533">
        <f t="shared" si="17"/>
        <v>100</v>
      </c>
      <c r="K119" s="533">
        <f t="shared" si="17"/>
        <v>100</v>
      </c>
      <c r="L119" s="533">
        <f t="shared" si="17"/>
        <v>100</v>
      </c>
      <c r="M119" s="533"/>
      <c r="N119" s="531">
        <f t="shared" si="17"/>
        <v>99.3</v>
      </c>
      <c r="O119" s="532">
        <f t="shared" si="17"/>
        <v>118.2</v>
      </c>
      <c r="P119" s="533">
        <f t="shared" si="17"/>
        <v>93.8</v>
      </c>
      <c r="Q119" s="533">
        <f t="shared" si="17"/>
        <v>98.6</v>
      </c>
      <c r="R119" s="533">
        <f t="shared" si="17"/>
        <v>100</v>
      </c>
      <c r="S119" s="533">
        <f t="shared" si="17"/>
        <v>89.2</v>
      </c>
      <c r="T119" s="535"/>
      <c r="U119" s="536"/>
      <c r="V119" s="331">
        <f>ROUND(100*V118/V117,1)</f>
        <v>100</v>
      </c>
      <c r="W119" s="55"/>
    </row>
    <row r="120" spans="1:23" ht="14.2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418"/>
      <c r="O120" s="418"/>
      <c r="P120" s="418"/>
      <c r="Q120" s="418"/>
      <c r="R120" s="418"/>
      <c r="S120" s="418"/>
      <c r="T120" s="418"/>
      <c r="U120" s="418"/>
      <c r="V120" s="418"/>
      <c r="W120" s="55"/>
    </row>
    <row r="121" spans="6:23" ht="12.75">
      <c r="F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12:23" ht="12.75"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10:23" ht="12.75">
      <c r="J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8:23" ht="12.75">
      <c r="H124" s="101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12:23" ht="12.75"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</sheetData>
  <mergeCells count="4">
    <mergeCell ref="U1:V1"/>
    <mergeCell ref="A3:V3"/>
    <mergeCell ref="A6:B6"/>
    <mergeCell ref="A66:B66"/>
  </mergeCells>
  <printOptions horizontalCentered="1"/>
  <pageMargins left="0.7875" right="0.7875" top="0.39375" bottom="0.7875" header="0.5118055555555556" footer="0.5118055555555556"/>
  <pageSetup cellComments="atEnd" fitToHeight="2" fitToWidth="1" horizontalDpi="300" verticalDpi="3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90"/>
  <sheetViews>
    <sheetView workbookViewId="0" topLeftCell="A148">
      <selection activeCell="I264" sqref="I264"/>
    </sheetView>
  </sheetViews>
  <sheetFormatPr defaultColWidth="9.140625" defaultRowHeight="12.75"/>
  <cols>
    <col min="1" max="1" width="6.7109375" style="1" customWidth="1"/>
    <col min="2" max="2" width="9.8515625" style="1" customWidth="1"/>
    <col min="3" max="3" width="42.28125" style="1" customWidth="1"/>
    <col min="4" max="4" width="14.00390625" style="1" customWidth="1"/>
    <col min="5" max="5" width="10.421875" style="1" customWidth="1"/>
    <col min="6" max="6" width="9.57421875" style="1" customWidth="1"/>
    <col min="7" max="7" width="9.8515625" style="1" customWidth="1"/>
    <col min="8" max="8" width="10.140625" style="1" customWidth="1"/>
    <col min="9" max="9" width="8.140625" style="1" customWidth="1"/>
    <col min="10" max="11" width="9.28125" style="1" customWidth="1"/>
    <col min="12" max="12" width="9.421875" style="1" customWidth="1"/>
    <col min="13" max="13" width="9.28125" style="1" customWidth="1"/>
    <col min="14" max="14" width="10.8515625" style="1" customWidth="1"/>
    <col min="15" max="15" width="11.421875" style="1" customWidth="1"/>
    <col min="16" max="18" width="8.7109375" style="1" customWidth="1"/>
    <col min="19" max="20" width="9.8515625" style="1" customWidth="1"/>
    <col min="21" max="21" width="8.7109375" style="1" customWidth="1"/>
    <col min="22" max="22" width="9.28125" style="1" customWidth="1"/>
    <col min="23" max="23" width="9.8515625" style="1" customWidth="1"/>
    <col min="24" max="16384" width="9.140625" style="1" customWidth="1"/>
  </cols>
  <sheetData>
    <row r="1" spans="22:23" ht="14.25">
      <c r="V1" s="1050" t="s">
        <v>1629</v>
      </c>
      <c r="W1" s="1050"/>
    </row>
    <row r="3" spans="2:23" ht="15.75">
      <c r="B3" s="990" t="s">
        <v>1630</v>
      </c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990"/>
      <c r="O3" s="990"/>
      <c r="P3" s="990"/>
      <c r="Q3" s="990"/>
      <c r="R3" s="990"/>
      <c r="S3" s="990"/>
      <c r="T3" s="990"/>
      <c r="U3" s="990"/>
      <c r="V3" s="990"/>
      <c r="W3" s="990"/>
    </row>
    <row r="4" spans="2:23" ht="15.75"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/>
      <c r="T4" s="538"/>
      <c r="U4" s="538"/>
      <c r="V4" s="538"/>
      <c r="W4" s="538"/>
    </row>
    <row r="5" spans="2:23" ht="14.25"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266" t="s">
        <v>1305</v>
      </c>
    </row>
    <row r="6" spans="1:26" ht="13.5" customHeight="1">
      <c r="A6" s="10"/>
      <c r="B6" s="269" t="s">
        <v>960</v>
      </c>
      <c r="C6" s="1071" t="s">
        <v>961</v>
      </c>
      <c r="D6" s="1071"/>
      <c r="E6" s="269" t="s">
        <v>962</v>
      </c>
      <c r="F6" s="269" t="s">
        <v>963</v>
      </c>
      <c r="G6" s="269" t="s">
        <v>964</v>
      </c>
      <c r="H6" s="269" t="s">
        <v>965</v>
      </c>
      <c r="I6" s="269" t="s">
        <v>966</v>
      </c>
      <c r="J6" s="269" t="s">
        <v>967</v>
      </c>
      <c r="K6" s="269" t="s">
        <v>968</v>
      </c>
      <c r="L6" s="269" t="s">
        <v>969</v>
      </c>
      <c r="M6" s="269" t="s">
        <v>970</v>
      </c>
      <c r="N6" s="269" t="s">
        <v>971</v>
      </c>
      <c r="O6" s="269" t="s">
        <v>972</v>
      </c>
      <c r="P6" s="269" t="s">
        <v>973</v>
      </c>
      <c r="Q6" s="269" t="s">
        <v>1480</v>
      </c>
      <c r="R6" s="269" t="s">
        <v>1481</v>
      </c>
      <c r="S6" s="269" t="s">
        <v>1482</v>
      </c>
      <c r="T6" s="269" t="s">
        <v>1483</v>
      </c>
      <c r="U6" s="269" t="s">
        <v>1484</v>
      </c>
      <c r="V6" s="10" t="s">
        <v>1486</v>
      </c>
      <c r="W6" s="10" t="s">
        <v>1487</v>
      </c>
      <c r="X6" s="55"/>
      <c r="Y6" s="55"/>
      <c r="Z6" s="55"/>
    </row>
    <row r="7" spans="1:26" ht="13.5" customHeight="1">
      <c r="A7" s="133" t="s">
        <v>1159</v>
      </c>
      <c r="B7" s="540" t="s">
        <v>1631</v>
      </c>
      <c r="C7" s="259" t="s">
        <v>1083</v>
      </c>
      <c r="D7" s="259"/>
      <c r="E7" s="271" t="s">
        <v>1405</v>
      </c>
      <c r="F7" s="259" t="s">
        <v>1493</v>
      </c>
      <c r="G7" s="259"/>
      <c r="H7" s="259"/>
      <c r="I7" s="259"/>
      <c r="J7" s="259"/>
      <c r="K7" s="259"/>
      <c r="L7" s="259"/>
      <c r="M7" s="259"/>
      <c r="N7" s="259"/>
      <c r="O7" s="271" t="s">
        <v>1405</v>
      </c>
      <c r="P7" s="259" t="s">
        <v>1494</v>
      </c>
      <c r="Q7" s="259"/>
      <c r="R7" s="259"/>
      <c r="S7" s="259"/>
      <c r="T7" s="259"/>
      <c r="U7" s="259"/>
      <c r="V7" s="259"/>
      <c r="W7" s="541"/>
      <c r="X7" s="55"/>
      <c r="Y7" s="55"/>
      <c r="Z7" s="55"/>
    </row>
    <row r="8" spans="1:26" ht="13.5" customHeight="1">
      <c r="A8" s="353"/>
      <c r="B8" s="279" t="s">
        <v>1632</v>
      </c>
      <c r="C8" s="136"/>
      <c r="D8" s="136"/>
      <c r="E8" s="275" t="s">
        <v>1407</v>
      </c>
      <c r="F8" s="277"/>
      <c r="G8" s="277"/>
      <c r="H8" s="277"/>
      <c r="I8" s="277"/>
      <c r="J8" s="277"/>
      <c r="K8" s="277"/>
      <c r="L8" s="277"/>
      <c r="M8" s="277"/>
      <c r="N8" s="136"/>
      <c r="O8" s="275" t="s">
        <v>1409</v>
      </c>
      <c r="P8" s="277"/>
      <c r="Q8" s="277"/>
      <c r="R8" s="277"/>
      <c r="S8" s="277"/>
      <c r="T8" s="277"/>
      <c r="U8" s="277"/>
      <c r="V8" s="136"/>
      <c r="W8" s="444"/>
      <c r="X8" s="55"/>
      <c r="Y8" s="55"/>
      <c r="Z8" s="55"/>
    </row>
    <row r="9" spans="1:26" ht="13.5" customHeight="1">
      <c r="A9" s="353"/>
      <c r="B9" s="279"/>
      <c r="C9" s="136"/>
      <c r="D9" s="136"/>
      <c r="E9" s="275" t="s">
        <v>1404</v>
      </c>
      <c r="F9" s="136" t="s">
        <v>1495</v>
      </c>
      <c r="G9" s="542" t="s">
        <v>1496</v>
      </c>
      <c r="H9" s="542" t="s">
        <v>1496</v>
      </c>
      <c r="I9" s="542" t="s">
        <v>1498</v>
      </c>
      <c r="J9" s="542" t="s">
        <v>1499</v>
      </c>
      <c r="K9" s="542" t="s">
        <v>1500</v>
      </c>
      <c r="L9" s="542" t="s">
        <v>1501</v>
      </c>
      <c r="M9" s="542" t="s">
        <v>1500</v>
      </c>
      <c r="N9" s="286" t="s">
        <v>1504</v>
      </c>
      <c r="O9" s="275" t="s">
        <v>1404</v>
      </c>
      <c r="P9" s="136" t="s">
        <v>1505</v>
      </c>
      <c r="Q9" s="542" t="s">
        <v>1506</v>
      </c>
      <c r="R9" s="542" t="s">
        <v>1507</v>
      </c>
      <c r="S9" s="542" t="s">
        <v>1508</v>
      </c>
      <c r="T9" s="542" t="s">
        <v>1500</v>
      </c>
      <c r="U9" s="542" t="s">
        <v>1633</v>
      </c>
      <c r="V9" s="237" t="s">
        <v>1511</v>
      </c>
      <c r="W9" s="21" t="s">
        <v>1634</v>
      </c>
      <c r="X9" s="55"/>
      <c r="Y9" s="55"/>
      <c r="Z9" s="55"/>
    </row>
    <row r="10" spans="1:26" ht="13.5" customHeight="1">
      <c r="A10" s="353"/>
      <c r="B10" s="279"/>
      <c r="C10" s="136"/>
      <c r="D10" s="136"/>
      <c r="E10" s="275"/>
      <c r="F10" s="136" t="s">
        <v>1512</v>
      </c>
      <c r="G10" s="49" t="s">
        <v>1513</v>
      </c>
      <c r="H10" s="49" t="s">
        <v>1513</v>
      </c>
      <c r="I10" s="49" t="s">
        <v>1515</v>
      </c>
      <c r="J10" s="49" t="s">
        <v>1516</v>
      </c>
      <c r="K10" s="49" t="s">
        <v>1517</v>
      </c>
      <c r="L10" s="49" t="s">
        <v>1518</v>
      </c>
      <c r="M10" s="49" t="s">
        <v>1517</v>
      </c>
      <c r="N10" s="280" t="s">
        <v>1521</v>
      </c>
      <c r="O10" s="275"/>
      <c r="P10" s="136" t="s">
        <v>1522</v>
      </c>
      <c r="Q10" s="49" t="s">
        <v>1523</v>
      </c>
      <c r="R10" s="49" t="s">
        <v>1409</v>
      </c>
      <c r="S10" s="49" t="s">
        <v>1524</v>
      </c>
      <c r="T10" s="49" t="s">
        <v>1517</v>
      </c>
      <c r="U10" s="49" t="s">
        <v>1635</v>
      </c>
      <c r="V10" s="56" t="s">
        <v>1527</v>
      </c>
      <c r="W10" s="34" t="s">
        <v>1529</v>
      </c>
      <c r="X10" s="55"/>
      <c r="Y10" s="55"/>
      <c r="Z10" s="55"/>
    </row>
    <row r="11" spans="1:26" ht="13.5" customHeight="1">
      <c r="A11" s="353"/>
      <c r="B11" s="279"/>
      <c r="C11" s="136"/>
      <c r="D11" s="136"/>
      <c r="E11" s="275"/>
      <c r="F11" s="136" t="s">
        <v>1530</v>
      </c>
      <c r="G11" s="49" t="s">
        <v>1531</v>
      </c>
      <c r="H11" s="49" t="s">
        <v>1533</v>
      </c>
      <c r="I11" s="49" t="s">
        <v>1534</v>
      </c>
      <c r="J11" s="49" t="s">
        <v>1534</v>
      </c>
      <c r="K11" s="49" t="s">
        <v>1535</v>
      </c>
      <c r="L11" s="49" t="s">
        <v>1536</v>
      </c>
      <c r="M11" s="49" t="s">
        <v>1535</v>
      </c>
      <c r="N11" s="280" t="s">
        <v>1538</v>
      </c>
      <c r="O11" s="275"/>
      <c r="P11" s="136" t="s">
        <v>1539</v>
      </c>
      <c r="Q11" s="49" t="s">
        <v>1540</v>
      </c>
      <c r="R11" s="49"/>
      <c r="S11" s="49" t="s">
        <v>1541</v>
      </c>
      <c r="T11" s="49" t="s">
        <v>1535</v>
      </c>
      <c r="U11" s="49"/>
      <c r="V11" s="56"/>
      <c r="W11" s="34" t="s">
        <v>1543</v>
      </c>
      <c r="X11" s="55"/>
      <c r="Y11" s="55"/>
      <c r="Z11" s="55"/>
    </row>
    <row r="12" spans="1:26" ht="13.5" customHeight="1">
      <c r="A12" s="353"/>
      <c r="B12" s="279"/>
      <c r="C12" s="136"/>
      <c r="D12" s="136"/>
      <c r="E12" s="275"/>
      <c r="F12" s="136" t="s">
        <v>1407</v>
      </c>
      <c r="G12" s="49" t="s">
        <v>1544</v>
      </c>
      <c r="H12" s="49" t="s">
        <v>1546</v>
      </c>
      <c r="I12" s="49" t="s">
        <v>1547</v>
      </c>
      <c r="J12" s="49" t="s">
        <v>1547</v>
      </c>
      <c r="K12" s="49" t="s">
        <v>1548</v>
      </c>
      <c r="L12" s="49"/>
      <c r="M12" s="49" t="s">
        <v>1549</v>
      </c>
      <c r="N12" s="280" t="s">
        <v>1551</v>
      </c>
      <c r="O12" s="275"/>
      <c r="P12" s="136"/>
      <c r="Q12" s="49" t="s">
        <v>1552</v>
      </c>
      <c r="R12" s="49"/>
      <c r="S12" s="49" t="s">
        <v>1553</v>
      </c>
      <c r="T12" s="49" t="s">
        <v>1554</v>
      </c>
      <c r="U12" s="49"/>
      <c r="V12" s="56"/>
      <c r="W12" s="34" t="s">
        <v>1557</v>
      </c>
      <c r="X12" s="55"/>
      <c r="Y12" s="55"/>
      <c r="Z12" s="55"/>
    </row>
    <row r="13" spans="1:26" ht="13.5" customHeight="1">
      <c r="A13" s="353"/>
      <c r="B13" s="279"/>
      <c r="C13" s="136"/>
      <c r="D13" s="136"/>
      <c r="E13" s="275"/>
      <c r="F13" s="136"/>
      <c r="G13" s="49" t="s">
        <v>1558</v>
      </c>
      <c r="H13" s="49" t="s">
        <v>1560</v>
      </c>
      <c r="I13" s="49" t="s">
        <v>1561</v>
      </c>
      <c r="J13" s="49" t="s">
        <v>1561</v>
      </c>
      <c r="K13" s="49"/>
      <c r="L13" s="49"/>
      <c r="M13" s="49" t="s">
        <v>1562</v>
      </c>
      <c r="N13" s="136"/>
      <c r="O13" s="275"/>
      <c r="P13" s="136"/>
      <c r="Q13" s="49"/>
      <c r="R13" s="49"/>
      <c r="S13" s="49" t="s">
        <v>1563</v>
      </c>
      <c r="T13" s="49"/>
      <c r="U13" s="49"/>
      <c r="V13" s="56"/>
      <c r="W13" s="34" t="s">
        <v>1565</v>
      </c>
      <c r="X13" s="55"/>
      <c r="Y13" s="55"/>
      <c r="Z13" s="55"/>
    </row>
    <row r="14" spans="1:26" ht="13.5" customHeight="1">
      <c r="A14" s="543"/>
      <c r="B14" s="284"/>
      <c r="C14" s="277"/>
      <c r="D14" s="277"/>
      <c r="E14" s="282"/>
      <c r="F14" s="277"/>
      <c r="G14" s="439" t="s">
        <v>1566</v>
      </c>
      <c r="H14" s="439" t="s">
        <v>1567</v>
      </c>
      <c r="I14" s="439"/>
      <c r="J14" s="439"/>
      <c r="K14" s="439"/>
      <c r="L14" s="439"/>
      <c r="M14" s="439" t="s">
        <v>1636</v>
      </c>
      <c r="N14" s="277"/>
      <c r="O14" s="282"/>
      <c r="P14" s="277"/>
      <c r="Q14" s="439"/>
      <c r="R14" s="439"/>
      <c r="S14" s="439"/>
      <c r="T14" s="439"/>
      <c r="U14" s="439"/>
      <c r="V14" s="544"/>
      <c r="W14" s="545"/>
      <c r="X14" s="55"/>
      <c r="Y14" s="55"/>
      <c r="Z14" s="55"/>
    </row>
    <row r="15" spans="1:26" ht="13.5" customHeight="1">
      <c r="A15" s="546" t="s">
        <v>987</v>
      </c>
      <c r="B15" s="58" t="s">
        <v>1637</v>
      </c>
      <c r="C15" s="547" t="s">
        <v>1638</v>
      </c>
      <c r="D15" s="259"/>
      <c r="E15" s="271"/>
      <c r="F15" s="259"/>
      <c r="G15" s="542"/>
      <c r="H15" s="542"/>
      <c r="I15" s="542"/>
      <c r="J15" s="542"/>
      <c r="K15" s="542"/>
      <c r="L15" s="542"/>
      <c r="M15" s="542"/>
      <c r="N15" s="259"/>
      <c r="O15" s="271"/>
      <c r="P15" s="259"/>
      <c r="Q15" s="542"/>
      <c r="R15" s="542"/>
      <c r="S15" s="542"/>
      <c r="T15" s="542"/>
      <c r="U15" s="542"/>
      <c r="V15" s="237"/>
      <c r="W15" s="246"/>
      <c r="X15" s="55"/>
      <c r="Y15" s="55"/>
      <c r="Z15" s="55"/>
    </row>
    <row r="16" spans="1:26" ht="13.5" customHeight="1">
      <c r="A16" s="548" t="s">
        <v>990</v>
      </c>
      <c r="C16" s="212"/>
      <c r="D16" s="136" t="s">
        <v>1084</v>
      </c>
      <c r="E16" s="275"/>
      <c r="F16" s="136"/>
      <c r="G16" s="49"/>
      <c r="H16" s="49"/>
      <c r="I16" s="49"/>
      <c r="J16" s="49"/>
      <c r="K16" s="49"/>
      <c r="L16" s="49"/>
      <c r="M16" s="136"/>
      <c r="N16" s="280"/>
      <c r="O16" s="275"/>
      <c r="P16" s="136"/>
      <c r="Q16" s="49"/>
      <c r="R16" s="49"/>
      <c r="S16" s="49"/>
      <c r="T16" s="49"/>
      <c r="U16" s="49"/>
      <c r="V16" s="56"/>
      <c r="W16" s="246"/>
      <c r="X16" s="55"/>
      <c r="Y16" s="55"/>
      <c r="Z16" s="55"/>
    </row>
    <row r="17" spans="1:26" ht="13.5" customHeight="1">
      <c r="A17" s="548" t="s">
        <v>993</v>
      </c>
      <c r="B17" s="58"/>
      <c r="C17" s="379"/>
      <c r="D17" s="136" t="s">
        <v>978</v>
      </c>
      <c r="E17" s="275">
        <f>SUM(F17:N17)</f>
        <v>2512</v>
      </c>
      <c r="F17" s="136"/>
      <c r="G17" s="49"/>
      <c r="H17" s="49"/>
      <c r="I17" s="49"/>
      <c r="J17" s="49">
        <v>2512</v>
      </c>
      <c r="K17" s="49"/>
      <c r="L17" s="49"/>
      <c r="M17" s="136"/>
      <c r="N17" s="280"/>
      <c r="O17" s="275">
        <f>SUM(P17:W17)</f>
        <v>2512</v>
      </c>
      <c r="P17" s="136">
        <v>1380</v>
      </c>
      <c r="Q17" s="49">
        <v>357</v>
      </c>
      <c r="R17" s="49">
        <v>775</v>
      </c>
      <c r="S17" s="49"/>
      <c r="T17" s="49"/>
      <c r="U17" s="49"/>
      <c r="V17" s="56"/>
      <c r="W17" s="246"/>
      <c r="X17" s="55"/>
      <c r="Y17" s="55"/>
      <c r="Z17" s="55"/>
    </row>
    <row r="18" spans="1:26" ht="13.5" customHeight="1">
      <c r="A18" s="548" t="s">
        <v>996</v>
      </c>
      <c r="B18" s="311"/>
      <c r="C18" s="379"/>
      <c r="D18" s="136" t="s">
        <v>979</v>
      </c>
      <c r="E18" s="275">
        <f>SUM(F18:N18)</f>
        <v>2512</v>
      </c>
      <c r="F18" s="136"/>
      <c r="G18" s="49"/>
      <c r="H18" s="49"/>
      <c r="I18" s="49"/>
      <c r="J18" s="49">
        <v>2512</v>
      </c>
      <c r="K18" s="49"/>
      <c r="L18" s="49"/>
      <c r="M18" s="136"/>
      <c r="N18" s="280"/>
      <c r="O18" s="294">
        <f>SUM(P18:V18)</f>
        <v>2039</v>
      </c>
      <c r="P18" s="136">
        <v>1360</v>
      </c>
      <c r="Q18" s="49">
        <v>226</v>
      </c>
      <c r="R18" s="49">
        <v>453</v>
      </c>
      <c r="S18" s="49"/>
      <c r="T18" s="49"/>
      <c r="U18" s="49"/>
      <c r="V18" s="56"/>
      <c r="W18" s="246"/>
      <c r="X18" s="55"/>
      <c r="Y18" s="55"/>
      <c r="Z18" s="55"/>
    </row>
    <row r="19" spans="1:26" ht="13.5" customHeight="1">
      <c r="A19" s="548" t="s">
        <v>999</v>
      </c>
      <c r="B19" s="311"/>
      <c r="C19" s="549"/>
      <c r="D19" s="136" t="s">
        <v>1414</v>
      </c>
      <c r="E19" s="289">
        <f>ROUND(100*E18/E17,1)</f>
        <v>100</v>
      </c>
      <c r="F19" s="136"/>
      <c r="G19" s="49"/>
      <c r="H19" s="49"/>
      <c r="I19" s="49"/>
      <c r="J19" s="50">
        <f>ROUND(100*J18/J17,1)</f>
        <v>100</v>
      </c>
      <c r="K19" s="49"/>
      <c r="L19" s="49"/>
      <c r="M19" s="136"/>
      <c r="N19" s="280"/>
      <c r="O19" s="289">
        <f>ROUND(100*O18/O17,1)</f>
        <v>81.2</v>
      </c>
      <c r="P19" s="394">
        <f>ROUND(100*P18/P17,1)</f>
        <v>98.6</v>
      </c>
      <c r="Q19" s="50">
        <f>ROUND(100*Q18/Q17,1)</f>
        <v>63.3</v>
      </c>
      <c r="R19" s="50">
        <f>ROUND(100*R18/R17,1)</f>
        <v>58.5</v>
      </c>
      <c r="S19" s="49">
        <f>SUM(S18)</f>
        <v>0</v>
      </c>
      <c r="T19" s="49"/>
      <c r="U19" s="49">
        <f>SUM(U18)</f>
        <v>0</v>
      </c>
      <c r="V19" s="56">
        <f>SUM(V18)</f>
        <v>0</v>
      </c>
      <c r="W19" s="246"/>
      <c r="X19" s="55"/>
      <c r="Y19" s="55"/>
      <c r="Z19" s="55"/>
    </row>
    <row r="20" spans="1:26" ht="13.5" customHeight="1">
      <c r="A20" s="546" t="s">
        <v>1030</v>
      </c>
      <c r="B20" s="58" t="s">
        <v>1639</v>
      </c>
      <c r="C20" s="379" t="s">
        <v>1640</v>
      </c>
      <c r="D20" s="136"/>
      <c r="E20" s="294"/>
      <c r="F20" s="136"/>
      <c r="G20" s="49"/>
      <c r="H20" s="49"/>
      <c r="I20" s="49"/>
      <c r="J20" s="49"/>
      <c r="K20" s="49"/>
      <c r="L20" s="49"/>
      <c r="M20" s="136"/>
      <c r="N20" s="280"/>
      <c r="O20" s="294"/>
      <c r="P20" s="136"/>
      <c r="Q20" s="49"/>
      <c r="R20" s="49"/>
      <c r="S20" s="49"/>
      <c r="T20" s="49"/>
      <c r="U20" s="49"/>
      <c r="V20" s="56"/>
      <c r="W20" s="246"/>
      <c r="X20" s="55"/>
      <c r="Y20" s="55"/>
      <c r="Z20" s="55"/>
    </row>
    <row r="21" spans="1:26" ht="13.5" customHeight="1">
      <c r="A21" s="548" t="s">
        <v>1033</v>
      </c>
      <c r="C21" s="212"/>
      <c r="D21" s="136" t="s">
        <v>1084</v>
      </c>
      <c r="E21" s="294"/>
      <c r="F21" s="136"/>
      <c r="G21" s="49"/>
      <c r="H21" s="49"/>
      <c r="I21" s="49"/>
      <c r="J21" s="49"/>
      <c r="K21" s="49"/>
      <c r="L21" s="49"/>
      <c r="M21" s="136"/>
      <c r="N21" s="280"/>
      <c r="O21" s="294"/>
      <c r="P21" s="136"/>
      <c r="Q21" s="49"/>
      <c r="R21" s="49"/>
      <c r="S21" s="49"/>
      <c r="T21" s="49"/>
      <c r="U21" s="49"/>
      <c r="V21" s="56"/>
      <c r="W21" s="246"/>
      <c r="X21" s="55"/>
      <c r="Y21" s="55"/>
      <c r="Z21" s="55"/>
    </row>
    <row r="22" spans="1:26" ht="13.5" customHeight="1">
      <c r="A22" s="548" t="s">
        <v>1036</v>
      </c>
      <c r="B22" s="311"/>
      <c r="C22" s="379"/>
      <c r="D22" s="136" t="s">
        <v>978</v>
      </c>
      <c r="E22" s="275">
        <f>SUM(F22:N22)</f>
        <v>2131</v>
      </c>
      <c r="F22" s="136"/>
      <c r="G22" s="49"/>
      <c r="H22" s="49"/>
      <c r="I22" s="49"/>
      <c r="J22" s="49">
        <v>2131</v>
      </c>
      <c r="K22" s="49"/>
      <c r="L22" s="49"/>
      <c r="M22" s="136"/>
      <c r="N22" s="280"/>
      <c r="O22" s="275">
        <f>SUM(P22:W22)</f>
        <v>2131</v>
      </c>
      <c r="P22" s="136">
        <v>1278</v>
      </c>
      <c r="Q22" s="49">
        <v>340</v>
      </c>
      <c r="R22" s="49">
        <v>513</v>
      </c>
      <c r="S22" s="49"/>
      <c r="T22" s="49"/>
      <c r="U22" s="49"/>
      <c r="V22" s="56"/>
      <c r="W22" s="246"/>
      <c r="X22" s="55"/>
      <c r="Y22" s="55"/>
      <c r="Z22" s="55"/>
    </row>
    <row r="23" spans="1:26" ht="13.5" customHeight="1">
      <c r="A23" s="548" t="s">
        <v>1039</v>
      </c>
      <c r="B23" s="311"/>
      <c r="C23" s="379"/>
      <c r="D23" s="136" t="s">
        <v>979</v>
      </c>
      <c r="E23" s="275">
        <f>SUM(F23:N23)</f>
        <v>2170</v>
      </c>
      <c r="F23" s="136">
        <v>39</v>
      </c>
      <c r="G23" s="49"/>
      <c r="H23" s="49"/>
      <c r="I23" s="49"/>
      <c r="J23" s="49">
        <v>2131</v>
      </c>
      <c r="K23" s="49"/>
      <c r="L23" s="49"/>
      <c r="M23" s="136"/>
      <c r="N23" s="280"/>
      <c r="O23" s="294">
        <f>SUM(P23:V23)</f>
        <v>1965</v>
      </c>
      <c r="P23" s="136">
        <v>1222</v>
      </c>
      <c r="Q23" s="49">
        <v>316</v>
      </c>
      <c r="R23" s="49">
        <v>427</v>
      </c>
      <c r="S23" s="49"/>
      <c r="T23" s="49"/>
      <c r="U23" s="49"/>
      <c r="V23" s="56"/>
      <c r="W23" s="246"/>
      <c r="X23" s="55"/>
      <c r="Y23" s="55"/>
      <c r="Z23" s="55"/>
    </row>
    <row r="24" spans="1:26" ht="13.5" customHeight="1">
      <c r="A24" s="548" t="s">
        <v>1042</v>
      </c>
      <c r="B24" s="311"/>
      <c r="C24" s="379"/>
      <c r="D24" s="136" t="s">
        <v>1414</v>
      </c>
      <c r="E24" s="289">
        <f>ROUND(100*E23/E22,1)</f>
        <v>101.8</v>
      </c>
      <c r="F24" s="136"/>
      <c r="G24" s="49"/>
      <c r="H24" s="49"/>
      <c r="I24" s="49"/>
      <c r="J24" s="50">
        <f>ROUND(100*J23/J22,1)</f>
        <v>100</v>
      </c>
      <c r="K24" s="49"/>
      <c r="L24" s="49"/>
      <c r="M24" s="136"/>
      <c r="N24" s="280"/>
      <c r="O24" s="289">
        <f>ROUND(100*O23/O22,1)</f>
        <v>92.2</v>
      </c>
      <c r="P24" s="394">
        <f>ROUND(100*P23/P22,1)</f>
        <v>95.6</v>
      </c>
      <c r="Q24" s="50">
        <f>ROUND(100*Q23/Q22,1)</f>
        <v>92.9</v>
      </c>
      <c r="R24" s="50">
        <f>ROUND(100*R23/R22,1)</f>
        <v>83.2</v>
      </c>
      <c r="S24" s="49"/>
      <c r="T24" s="49"/>
      <c r="U24" s="49"/>
      <c r="V24" s="56"/>
      <c r="W24" s="246"/>
      <c r="X24" s="55"/>
      <c r="Y24" s="55"/>
      <c r="Z24" s="55"/>
    </row>
    <row r="25" spans="1:26" ht="13.5" customHeight="1">
      <c r="A25" s="546" t="s">
        <v>1074</v>
      </c>
      <c r="B25" s="58" t="s">
        <v>1641</v>
      </c>
      <c r="C25" s="379" t="s">
        <v>1642</v>
      </c>
      <c r="D25" s="136"/>
      <c r="E25" s="294"/>
      <c r="F25" s="136"/>
      <c r="G25" s="49"/>
      <c r="H25" s="49"/>
      <c r="I25" s="49"/>
      <c r="J25" s="49"/>
      <c r="K25" s="49"/>
      <c r="L25" s="49"/>
      <c r="M25" s="136"/>
      <c r="N25" s="280"/>
      <c r="O25" s="294"/>
      <c r="P25" s="136"/>
      <c r="Q25" s="49"/>
      <c r="R25" s="49"/>
      <c r="S25" s="49"/>
      <c r="T25" s="49"/>
      <c r="U25" s="49"/>
      <c r="V25" s="56"/>
      <c r="W25" s="246"/>
      <c r="X25" s="55"/>
      <c r="Y25" s="55"/>
      <c r="Z25" s="55"/>
    </row>
    <row r="26" spans="1:26" ht="13.5" customHeight="1">
      <c r="A26" s="546"/>
      <c r="B26" s="58"/>
      <c r="C26" s="379" t="s">
        <v>1643</v>
      </c>
      <c r="D26" s="136"/>
      <c r="E26" s="294"/>
      <c r="F26" s="136"/>
      <c r="G26" s="49"/>
      <c r="H26" s="49"/>
      <c r="I26" s="49"/>
      <c r="J26" s="49"/>
      <c r="K26" s="49"/>
      <c r="L26" s="49"/>
      <c r="M26" s="136"/>
      <c r="N26" s="280"/>
      <c r="O26" s="294"/>
      <c r="P26" s="136"/>
      <c r="Q26" s="49"/>
      <c r="R26" s="49"/>
      <c r="S26" s="49"/>
      <c r="T26" s="49"/>
      <c r="U26" s="49"/>
      <c r="V26" s="56"/>
      <c r="W26" s="246"/>
      <c r="X26" s="55"/>
      <c r="Y26" s="55"/>
      <c r="Z26" s="55"/>
    </row>
    <row r="27" spans="1:26" ht="13.5" customHeight="1">
      <c r="A27" s="548" t="s">
        <v>1109</v>
      </c>
      <c r="C27" s="212"/>
      <c r="D27" s="136" t="s">
        <v>1084</v>
      </c>
      <c r="E27" s="294"/>
      <c r="F27" s="136"/>
      <c r="G27" s="49"/>
      <c r="H27" s="49"/>
      <c r="I27" s="49"/>
      <c r="J27" s="49"/>
      <c r="K27" s="49"/>
      <c r="L27" s="49"/>
      <c r="M27" s="136"/>
      <c r="N27" s="280"/>
      <c r="O27" s="294"/>
      <c r="P27" s="136"/>
      <c r="Q27" s="49"/>
      <c r="R27" s="49"/>
      <c r="S27" s="49"/>
      <c r="T27" s="49"/>
      <c r="U27" s="49"/>
      <c r="V27" s="56"/>
      <c r="W27" s="246"/>
      <c r="X27" s="55"/>
      <c r="Y27" s="55"/>
      <c r="Z27" s="55"/>
    </row>
    <row r="28" spans="1:26" ht="13.5" customHeight="1">
      <c r="A28" s="548" t="s">
        <v>1111</v>
      </c>
      <c r="B28" s="58"/>
      <c r="C28" s="212"/>
      <c r="D28" s="136" t="s">
        <v>978</v>
      </c>
      <c r="E28" s="275">
        <f>SUM(F28:N28)</f>
        <v>689</v>
      </c>
      <c r="F28" s="136"/>
      <c r="G28" s="49"/>
      <c r="H28" s="49"/>
      <c r="I28" s="49"/>
      <c r="J28" s="49">
        <v>689</v>
      </c>
      <c r="K28" s="49"/>
      <c r="L28" s="49"/>
      <c r="M28" s="136"/>
      <c r="N28" s="280"/>
      <c r="O28" s="275">
        <f>SUM(P28:W28)</f>
        <v>689</v>
      </c>
      <c r="P28" s="136">
        <v>474</v>
      </c>
      <c r="Q28" s="49">
        <v>122</v>
      </c>
      <c r="R28" s="49">
        <v>93</v>
      </c>
      <c r="S28" s="49"/>
      <c r="T28" s="49"/>
      <c r="U28" s="49"/>
      <c r="V28" s="56"/>
      <c r="W28" s="246"/>
      <c r="X28" s="55"/>
      <c r="Y28" s="55"/>
      <c r="Z28" s="55"/>
    </row>
    <row r="29" spans="1:26" ht="13.5" customHeight="1">
      <c r="A29" s="548" t="s">
        <v>1146</v>
      </c>
      <c r="B29" s="58"/>
      <c r="C29" s="379"/>
      <c r="D29" s="136" t="s">
        <v>979</v>
      </c>
      <c r="E29" s="275">
        <f>SUM(F29:N29)</f>
        <v>689</v>
      </c>
      <c r="F29" s="136"/>
      <c r="G29" s="49"/>
      <c r="H29" s="49"/>
      <c r="I29" s="49"/>
      <c r="J29" s="49">
        <v>689</v>
      </c>
      <c r="K29" s="49"/>
      <c r="L29" s="49"/>
      <c r="M29" s="136"/>
      <c r="N29" s="280"/>
      <c r="O29" s="294">
        <f>SUM(P29:V29)</f>
        <v>632</v>
      </c>
      <c r="P29" s="136">
        <v>431</v>
      </c>
      <c r="Q29" s="49">
        <v>110</v>
      </c>
      <c r="R29" s="49">
        <v>91</v>
      </c>
      <c r="S29" s="49"/>
      <c r="T29" s="49"/>
      <c r="U29" s="49"/>
      <c r="V29" s="56"/>
      <c r="W29" s="246"/>
      <c r="X29" s="55"/>
      <c r="Y29" s="55"/>
      <c r="Z29" s="55"/>
    </row>
    <row r="30" spans="1:26" ht="13.5" customHeight="1">
      <c r="A30" s="548" t="s">
        <v>1148</v>
      </c>
      <c r="B30" s="58"/>
      <c r="C30" s="379"/>
      <c r="D30" s="136" t="s">
        <v>1414</v>
      </c>
      <c r="E30" s="289">
        <f>ROUND(100*E29/E28,1)</f>
        <v>100</v>
      </c>
      <c r="F30" s="136"/>
      <c r="G30" s="49"/>
      <c r="H30" s="49"/>
      <c r="I30" s="49"/>
      <c r="J30" s="50">
        <f>ROUND(100*J29/J28,1)</f>
        <v>100</v>
      </c>
      <c r="K30" s="49"/>
      <c r="L30" s="49"/>
      <c r="M30" s="136"/>
      <c r="N30" s="280"/>
      <c r="O30" s="289">
        <f>ROUND(100*O29/O28,1)</f>
        <v>91.7</v>
      </c>
      <c r="P30" s="394">
        <f>ROUND(100*P29/P28,1)</f>
        <v>90.9</v>
      </c>
      <c r="Q30" s="50">
        <f>ROUND(100*Q29/Q28,1)</f>
        <v>90.2</v>
      </c>
      <c r="R30" s="50">
        <f>ROUND(100*R29/R28,1)</f>
        <v>97.8</v>
      </c>
      <c r="S30" s="49"/>
      <c r="T30" s="49"/>
      <c r="U30" s="49"/>
      <c r="V30" s="56"/>
      <c r="W30" s="246"/>
      <c r="X30" s="55"/>
      <c r="Y30" s="55"/>
      <c r="Z30" s="55"/>
    </row>
    <row r="31" spans="1:26" ht="13.5" customHeight="1">
      <c r="A31" s="546" t="s">
        <v>1168</v>
      </c>
      <c r="B31" s="136" t="s">
        <v>1644</v>
      </c>
      <c r="C31" s="56" t="s">
        <v>1645</v>
      </c>
      <c r="D31" s="136"/>
      <c r="E31" s="275"/>
      <c r="F31" s="136"/>
      <c r="G31" s="49"/>
      <c r="H31" s="49"/>
      <c r="I31" s="49"/>
      <c r="J31" s="49"/>
      <c r="K31" s="49"/>
      <c r="L31" s="49"/>
      <c r="M31" s="136"/>
      <c r="N31" s="280"/>
      <c r="O31" s="275"/>
      <c r="P31" s="136"/>
      <c r="Q31" s="49"/>
      <c r="R31" s="49"/>
      <c r="S31" s="49"/>
      <c r="T31" s="49"/>
      <c r="U31" s="49"/>
      <c r="V31" s="56"/>
      <c r="W31" s="246"/>
      <c r="X31" s="55"/>
      <c r="Y31" s="55"/>
      <c r="Z31" s="55"/>
    </row>
    <row r="32" spans="1:26" ht="13.5" customHeight="1">
      <c r="A32" s="548" t="s">
        <v>1228</v>
      </c>
      <c r="C32" s="212"/>
      <c r="D32" s="136" t="s">
        <v>1084</v>
      </c>
      <c r="E32" s="275">
        <f>SUM(F32:N32)</f>
        <v>3500</v>
      </c>
      <c r="F32" s="136">
        <v>3500</v>
      </c>
      <c r="G32" s="49"/>
      <c r="H32" s="49"/>
      <c r="I32" s="49"/>
      <c r="J32" s="49"/>
      <c r="K32" s="49"/>
      <c r="L32" s="49"/>
      <c r="M32" s="136"/>
      <c r="N32" s="280"/>
      <c r="O32" s="275">
        <f>SUM(P32:V32)</f>
        <v>65132</v>
      </c>
      <c r="P32" s="136">
        <v>46694</v>
      </c>
      <c r="Q32" s="49">
        <v>11676</v>
      </c>
      <c r="R32" s="49">
        <v>6762</v>
      </c>
      <c r="S32" s="49"/>
      <c r="T32" s="49"/>
      <c r="U32" s="49"/>
      <c r="V32" s="56"/>
      <c r="W32" s="246"/>
      <c r="X32" s="55"/>
      <c r="Y32" s="55"/>
      <c r="Z32" s="55"/>
    </row>
    <row r="33" spans="1:26" ht="13.5" customHeight="1">
      <c r="A33" s="548" t="s">
        <v>1231</v>
      </c>
      <c r="B33" s="136"/>
      <c r="C33" s="56"/>
      <c r="D33" s="136" t="s">
        <v>978</v>
      </c>
      <c r="E33" s="275">
        <f>SUM(F33:N33)</f>
        <v>4753</v>
      </c>
      <c r="F33" s="136">
        <v>4753</v>
      </c>
      <c r="G33" s="49"/>
      <c r="H33" s="49"/>
      <c r="I33" s="49"/>
      <c r="J33" s="49"/>
      <c r="K33" s="49"/>
      <c r="L33" s="49"/>
      <c r="M33" s="136"/>
      <c r="N33" s="280"/>
      <c r="O33" s="275">
        <f>SUM(P33:V33)</f>
        <v>68639</v>
      </c>
      <c r="P33" s="136">
        <v>50050</v>
      </c>
      <c r="Q33" s="49">
        <v>12603</v>
      </c>
      <c r="R33" s="49">
        <v>5986</v>
      </c>
      <c r="S33" s="49"/>
      <c r="T33" s="49"/>
      <c r="U33" s="49"/>
      <c r="V33" s="56"/>
      <c r="W33" s="246"/>
      <c r="X33" s="55"/>
      <c r="Y33" s="55"/>
      <c r="Z33" s="55"/>
    </row>
    <row r="34" spans="1:26" ht="13.5" customHeight="1">
      <c r="A34" s="548" t="s">
        <v>1234</v>
      </c>
      <c r="B34" s="136"/>
      <c r="C34" s="56"/>
      <c r="D34" s="136" t="s">
        <v>979</v>
      </c>
      <c r="E34" s="275">
        <f>SUM(F34:N34)</f>
        <v>4762</v>
      </c>
      <c r="F34" s="136">
        <v>4762</v>
      </c>
      <c r="G34" s="49"/>
      <c r="H34" s="49"/>
      <c r="I34" s="49"/>
      <c r="J34" s="49"/>
      <c r="K34" s="49"/>
      <c r="L34" s="49"/>
      <c r="M34" s="136"/>
      <c r="N34" s="280"/>
      <c r="O34" s="294">
        <f>SUM(P34:V34)</f>
        <v>64313</v>
      </c>
      <c r="P34" s="136">
        <v>45724</v>
      </c>
      <c r="Q34" s="49">
        <v>12604</v>
      </c>
      <c r="R34" s="49">
        <f>5381+604</f>
        <v>5985</v>
      </c>
      <c r="S34" s="49"/>
      <c r="T34" s="49"/>
      <c r="U34" s="49"/>
      <c r="V34" s="56"/>
      <c r="W34" s="246"/>
      <c r="X34" s="55"/>
      <c r="Y34" s="55"/>
      <c r="Z34" s="55"/>
    </row>
    <row r="35" spans="1:26" ht="13.5" customHeight="1">
      <c r="A35" s="548" t="s">
        <v>1237</v>
      </c>
      <c r="B35" s="136"/>
      <c r="C35" s="56"/>
      <c r="D35" s="136" t="s">
        <v>1414</v>
      </c>
      <c r="E35" s="289">
        <f>ROUND(100*E34/E33,1)</f>
        <v>100.2</v>
      </c>
      <c r="F35" s="394">
        <f>ROUND(100*F34/F33,1)</f>
        <v>100.2</v>
      </c>
      <c r="G35" s="49">
        <f aca="true" t="shared" si="0" ref="G35:N35">SUM(G33:G34)</f>
        <v>0</v>
      </c>
      <c r="H35" s="49">
        <f t="shared" si="0"/>
        <v>0</v>
      </c>
      <c r="I35" s="49">
        <f t="shared" si="0"/>
        <v>0</v>
      </c>
      <c r="J35" s="49">
        <f t="shared" si="0"/>
        <v>0</v>
      </c>
      <c r="K35" s="49"/>
      <c r="L35" s="49">
        <f t="shared" si="0"/>
        <v>0</v>
      </c>
      <c r="M35" s="136">
        <f t="shared" si="0"/>
        <v>0</v>
      </c>
      <c r="N35" s="280">
        <f t="shared" si="0"/>
        <v>0</v>
      </c>
      <c r="O35" s="289">
        <f>ROUND(100*O34/O33,1)</f>
        <v>93.7</v>
      </c>
      <c r="P35" s="394">
        <f>ROUND(100*P34/P33,1)</f>
        <v>91.4</v>
      </c>
      <c r="Q35" s="50">
        <f>ROUND(100*Q34/Q33,1)</f>
        <v>100</v>
      </c>
      <c r="R35" s="50">
        <f>ROUND(100*R34/R33,1)</f>
        <v>100</v>
      </c>
      <c r="S35" s="49"/>
      <c r="T35" s="49"/>
      <c r="U35" s="49"/>
      <c r="V35" s="56"/>
      <c r="W35" s="246"/>
      <c r="X35" s="55"/>
      <c r="Y35" s="55"/>
      <c r="Z35" s="55"/>
    </row>
    <row r="36" spans="1:26" ht="13.5" customHeight="1">
      <c r="A36" s="546" t="s">
        <v>1169</v>
      </c>
      <c r="B36" s="136" t="s">
        <v>1646</v>
      </c>
      <c r="C36" s="56" t="s">
        <v>1647</v>
      </c>
      <c r="D36" s="136"/>
      <c r="E36" s="275"/>
      <c r="F36" s="136"/>
      <c r="G36" s="49"/>
      <c r="H36" s="49"/>
      <c r="I36" s="49"/>
      <c r="J36" s="49"/>
      <c r="K36" s="49"/>
      <c r="L36" s="49"/>
      <c r="M36" s="136"/>
      <c r="N36" s="280"/>
      <c r="O36" s="275"/>
      <c r="P36" s="136"/>
      <c r="Q36" s="49"/>
      <c r="R36" s="49"/>
      <c r="S36" s="49"/>
      <c r="T36" s="49"/>
      <c r="U36" s="49"/>
      <c r="V36" s="56"/>
      <c r="W36" s="246"/>
      <c r="X36" s="55"/>
      <c r="Y36" s="55"/>
      <c r="Z36" s="55"/>
    </row>
    <row r="37" spans="1:26" ht="13.5" customHeight="1">
      <c r="A37" s="548" t="s">
        <v>1258</v>
      </c>
      <c r="C37" s="212"/>
      <c r="D37" s="136" t="s">
        <v>1084</v>
      </c>
      <c r="E37" s="275">
        <f>SUM(F37:N37)</f>
        <v>69690</v>
      </c>
      <c r="F37" s="136">
        <v>690</v>
      </c>
      <c r="G37" s="49"/>
      <c r="H37" s="49"/>
      <c r="I37" s="49"/>
      <c r="J37" s="49">
        <v>69000</v>
      </c>
      <c r="K37" s="49"/>
      <c r="L37" s="49"/>
      <c r="M37" s="279"/>
      <c r="N37" s="136"/>
      <c r="O37" s="275">
        <f>SUM(P37:V37)</f>
        <v>206344</v>
      </c>
      <c r="P37" s="136">
        <v>123132</v>
      </c>
      <c r="Q37" s="49">
        <v>30182</v>
      </c>
      <c r="R37" s="49">
        <v>53030</v>
      </c>
      <c r="S37" s="49"/>
      <c r="T37" s="49"/>
      <c r="U37" s="49"/>
      <c r="V37" s="56"/>
      <c r="W37" s="246"/>
      <c r="X37" s="55"/>
      <c r="Y37" s="55"/>
      <c r="Z37" s="55"/>
    </row>
    <row r="38" spans="1:26" ht="13.5" customHeight="1">
      <c r="A38" s="548" t="s">
        <v>1260</v>
      </c>
      <c r="B38" s="136"/>
      <c r="C38" s="56"/>
      <c r="D38" s="136" t="s">
        <v>978</v>
      </c>
      <c r="E38" s="275">
        <f>SUM(F38:N38)</f>
        <v>101259</v>
      </c>
      <c r="F38" s="136">
        <v>3280</v>
      </c>
      <c r="G38" s="49"/>
      <c r="H38" s="49"/>
      <c r="I38" s="49"/>
      <c r="J38" s="279">
        <v>97979</v>
      </c>
      <c r="K38" s="279"/>
      <c r="L38" s="49"/>
      <c r="M38" s="279"/>
      <c r="N38" s="136"/>
      <c r="O38" s="275">
        <f>SUM(P38:V38)</f>
        <v>225070</v>
      </c>
      <c r="P38" s="136">
        <v>131754</v>
      </c>
      <c r="Q38" s="49">
        <v>32979</v>
      </c>
      <c r="R38" s="49">
        <v>57593</v>
      </c>
      <c r="S38" s="49">
        <v>2744</v>
      </c>
      <c r="T38" s="49"/>
      <c r="U38" s="49"/>
      <c r="V38" s="136"/>
      <c r="W38" s="246"/>
      <c r="X38" s="55"/>
      <c r="Y38" s="55"/>
      <c r="Z38" s="55"/>
    </row>
    <row r="39" spans="1:26" ht="13.5" customHeight="1">
      <c r="A39" s="548" t="s">
        <v>1262</v>
      </c>
      <c r="B39" s="136"/>
      <c r="C39" s="56"/>
      <c r="D39" s="136" t="s">
        <v>979</v>
      </c>
      <c r="E39" s="275">
        <f>SUM(F39:N39)</f>
        <v>101258</v>
      </c>
      <c r="F39" s="136">
        <v>3279</v>
      </c>
      <c r="G39" s="49"/>
      <c r="H39" s="49"/>
      <c r="I39" s="49"/>
      <c r="J39" s="279">
        <v>97979</v>
      </c>
      <c r="K39" s="279"/>
      <c r="L39" s="49"/>
      <c r="M39" s="279"/>
      <c r="N39" s="136"/>
      <c r="O39" s="294">
        <f>SUM(P39:V39)</f>
        <v>231143</v>
      </c>
      <c r="P39" s="136">
        <v>137879</v>
      </c>
      <c r="Q39" s="49">
        <v>33431</v>
      </c>
      <c r="R39" s="49">
        <f>47140+9949</f>
        <v>57089</v>
      </c>
      <c r="S39" s="49">
        <v>2744</v>
      </c>
      <c r="T39" s="49"/>
      <c r="U39" s="49"/>
      <c r="V39" s="136"/>
      <c r="W39" s="246"/>
      <c r="X39" s="55"/>
      <c r="Y39" s="55"/>
      <c r="Z39" s="55"/>
    </row>
    <row r="40" spans="1:26" ht="13.5" customHeight="1">
      <c r="A40" s="548" t="s">
        <v>1264</v>
      </c>
      <c r="B40" s="136"/>
      <c r="C40" s="56"/>
      <c r="D40" s="136" t="s">
        <v>1414</v>
      </c>
      <c r="E40" s="289">
        <f>ROUND(100*E39/E38,1)</f>
        <v>100</v>
      </c>
      <c r="F40" s="394">
        <f>ROUND(100*F39/F38,1)</f>
        <v>100</v>
      </c>
      <c r="G40" s="49">
        <f aca="true" t="shared" si="1" ref="G40:N40">SUM(G38:G39)</f>
        <v>0</v>
      </c>
      <c r="H40" s="49">
        <f t="shared" si="1"/>
        <v>0</v>
      </c>
      <c r="I40" s="49">
        <f t="shared" si="1"/>
        <v>0</v>
      </c>
      <c r="J40" s="392">
        <f>ROUND(100*J39/J38,1)</f>
        <v>100</v>
      </c>
      <c r="K40" s="279"/>
      <c r="L40" s="49">
        <f t="shared" si="1"/>
        <v>0</v>
      </c>
      <c r="M40" s="279">
        <f t="shared" si="1"/>
        <v>0</v>
      </c>
      <c r="N40" s="136">
        <f t="shared" si="1"/>
        <v>0</v>
      </c>
      <c r="O40" s="289">
        <f>ROUND(100*O39/O38,1)</f>
        <v>102.7</v>
      </c>
      <c r="P40" s="394">
        <f>ROUND(100*P39/P38,1)</f>
        <v>104.6</v>
      </c>
      <c r="Q40" s="50">
        <f>ROUND(100*Q39/Q38,1)</f>
        <v>101.4</v>
      </c>
      <c r="R40" s="50">
        <f>ROUND(100*R39/R38,1)</f>
        <v>99.1</v>
      </c>
      <c r="S40" s="50">
        <f>ROUND(100*S39/S38,1)</f>
        <v>100</v>
      </c>
      <c r="T40" s="49"/>
      <c r="U40" s="49"/>
      <c r="V40" s="136"/>
      <c r="W40" s="246"/>
      <c r="X40" s="55"/>
      <c r="Y40" s="55"/>
      <c r="Z40" s="55"/>
    </row>
    <row r="41" spans="1:26" ht="13.5" customHeight="1">
      <c r="A41" s="546" t="s">
        <v>1175</v>
      </c>
      <c r="B41" s="136" t="s">
        <v>1648</v>
      </c>
      <c r="C41" s="550" t="s">
        <v>1649</v>
      </c>
      <c r="D41" s="136"/>
      <c r="E41" s="289"/>
      <c r="F41" s="394"/>
      <c r="G41" s="49"/>
      <c r="H41" s="49"/>
      <c r="I41" s="49"/>
      <c r="J41" s="392"/>
      <c r="K41" s="279"/>
      <c r="L41" s="49"/>
      <c r="M41" s="279"/>
      <c r="N41" s="136"/>
      <c r="O41" s="289"/>
      <c r="P41" s="394"/>
      <c r="Q41" s="50"/>
      <c r="R41" s="50"/>
      <c r="S41" s="50"/>
      <c r="T41" s="49"/>
      <c r="U41" s="49"/>
      <c r="V41" s="136"/>
      <c r="W41" s="246"/>
      <c r="X41" s="55"/>
      <c r="Y41" s="55"/>
      <c r="Z41" s="55"/>
    </row>
    <row r="42" spans="1:26" ht="13.5" customHeight="1">
      <c r="A42" s="548" t="s">
        <v>1284</v>
      </c>
      <c r="B42" s="136"/>
      <c r="C42" s="550"/>
      <c r="D42" s="136" t="s">
        <v>1084</v>
      </c>
      <c r="E42" s="289"/>
      <c r="F42" s="394"/>
      <c r="G42" s="49"/>
      <c r="H42" s="49"/>
      <c r="I42" s="49"/>
      <c r="J42" s="392"/>
      <c r="K42" s="279"/>
      <c r="L42" s="49"/>
      <c r="M42" s="279"/>
      <c r="N42" s="136"/>
      <c r="O42" s="289"/>
      <c r="P42" s="394"/>
      <c r="Q42" s="50"/>
      <c r="R42" s="50"/>
      <c r="S42" s="50"/>
      <c r="T42" s="49"/>
      <c r="U42" s="49"/>
      <c r="V42" s="136"/>
      <c r="W42" s="246"/>
      <c r="X42" s="55"/>
      <c r="Y42" s="55"/>
      <c r="Z42" s="55"/>
    </row>
    <row r="43" spans="1:26" ht="13.5" customHeight="1">
      <c r="A43" s="548" t="s">
        <v>1286</v>
      </c>
      <c r="B43" s="136"/>
      <c r="C43" s="56"/>
      <c r="D43" s="136" t="s">
        <v>978</v>
      </c>
      <c r="E43" s="275">
        <f>SUM(F43:N43)</f>
        <v>94</v>
      </c>
      <c r="F43" s="394"/>
      <c r="G43" s="49"/>
      <c r="H43" s="49"/>
      <c r="I43" s="49"/>
      <c r="J43" s="279">
        <v>94</v>
      </c>
      <c r="K43" s="279"/>
      <c r="L43" s="49"/>
      <c r="M43" s="279"/>
      <c r="N43" s="136"/>
      <c r="O43" s="275">
        <f>SUM(P43:V43)</f>
        <v>294</v>
      </c>
      <c r="P43" s="136">
        <v>50</v>
      </c>
      <c r="Q43" s="49">
        <v>12</v>
      </c>
      <c r="R43" s="49">
        <v>232</v>
      </c>
      <c r="S43" s="49"/>
      <c r="T43" s="49"/>
      <c r="U43" s="49"/>
      <c r="V43" s="136"/>
      <c r="W43" s="246"/>
      <c r="X43" s="55"/>
      <c r="Y43" s="55"/>
      <c r="Z43" s="55"/>
    </row>
    <row r="44" spans="1:26" ht="13.5" customHeight="1">
      <c r="A44" s="548" t="s">
        <v>1288</v>
      </c>
      <c r="B44" s="136"/>
      <c r="C44" s="56"/>
      <c r="D44" s="136" t="s">
        <v>979</v>
      </c>
      <c r="E44" s="294">
        <f>SUM(F44:N44)</f>
        <v>94</v>
      </c>
      <c r="F44" s="394"/>
      <c r="G44" s="49"/>
      <c r="H44" s="49"/>
      <c r="I44" s="49"/>
      <c r="J44" s="279">
        <v>94</v>
      </c>
      <c r="K44" s="279"/>
      <c r="L44" s="49"/>
      <c r="M44" s="279"/>
      <c r="N44" s="136"/>
      <c r="O44" s="294">
        <f>SUM(P44:V44)</f>
        <v>122</v>
      </c>
      <c r="P44" s="136"/>
      <c r="Q44" s="49"/>
      <c r="R44" s="49">
        <v>122</v>
      </c>
      <c r="S44" s="49"/>
      <c r="T44" s="49"/>
      <c r="U44" s="49"/>
      <c r="V44" s="136"/>
      <c r="W44" s="246"/>
      <c r="X44" s="55"/>
      <c r="Y44" s="55"/>
      <c r="Z44" s="55"/>
    </row>
    <row r="45" spans="1:26" ht="13.5" customHeight="1">
      <c r="A45" s="548" t="s">
        <v>1291</v>
      </c>
      <c r="B45" s="136"/>
      <c r="C45" s="56"/>
      <c r="D45" s="136" t="s">
        <v>1414</v>
      </c>
      <c r="E45" s="289">
        <f>ROUND(100*E44/E43,1)</f>
        <v>100</v>
      </c>
      <c r="F45" s="394"/>
      <c r="G45" s="49"/>
      <c r="H45" s="49"/>
      <c r="I45" s="49"/>
      <c r="J45" s="392">
        <f>ROUND(100*J44/J43,1)</f>
        <v>100</v>
      </c>
      <c r="K45" s="279"/>
      <c r="L45" s="49"/>
      <c r="M45" s="279"/>
      <c r="N45" s="136"/>
      <c r="O45" s="289">
        <f>ROUND(100*O44/O43,1)</f>
        <v>41.5</v>
      </c>
      <c r="P45" s="394"/>
      <c r="Q45" s="50"/>
      <c r="R45" s="50">
        <f>ROUND(100*R44/R43,1)</f>
        <v>52.6</v>
      </c>
      <c r="S45" s="50"/>
      <c r="T45" s="49"/>
      <c r="U45" s="49"/>
      <c r="V45" s="136"/>
      <c r="W45" s="246"/>
      <c r="X45" s="55"/>
      <c r="Y45" s="55"/>
      <c r="Z45" s="55"/>
    </row>
    <row r="46" spans="1:26" ht="13.5" customHeight="1">
      <c r="A46" s="546" t="s">
        <v>1172</v>
      </c>
      <c r="B46" s="136" t="s">
        <v>1650</v>
      </c>
      <c r="C46" s="56" t="s">
        <v>1651</v>
      </c>
      <c r="D46" s="136"/>
      <c r="E46" s="275"/>
      <c r="F46" s="136"/>
      <c r="G46" s="49"/>
      <c r="H46" s="49"/>
      <c r="I46" s="49"/>
      <c r="J46" s="279"/>
      <c r="K46" s="279"/>
      <c r="L46" s="49"/>
      <c r="M46" s="279"/>
      <c r="N46" s="136"/>
      <c r="O46" s="275"/>
      <c r="P46" s="136"/>
      <c r="Q46" s="49"/>
      <c r="R46" s="49"/>
      <c r="S46" s="49"/>
      <c r="T46" s="49"/>
      <c r="U46" s="49"/>
      <c r="V46" s="136"/>
      <c r="W46" s="246"/>
      <c r="X46" s="55"/>
      <c r="Y46" s="55"/>
      <c r="Z46" s="55"/>
    </row>
    <row r="47" spans="1:26" ht="13.5" customHeight="1">
      <c r="A47" s="548" t="s">
        <v>1652</v>
      </c>
      <c r="C47" s="212"/>
      <c r="D47" s="136" t="s">
        <v>1084</v>
      </c>
      <c r="E47" s="275"/>
      <c r="F47" s="136"/>
      <c r="G47" s="49"/>
      <c r="H47" s="49"/>
      <c r="I47" s="49"/>
      <c r="J47" s="279"/>
      <c r="K47" s="279"/>
      <c r="L47" s="49"/>
      <c r="M47" s="279"/>
      <c r="N47" s="136"/>
      <c r="O47" s="275">
        <f>SUM(P47:V47)</f>
        <v>28000</v>
      </c>
      <c r="P47" s="136"/>
      <c r="Q47" s="49"/>
      <c r="R47" s="49">
        <v>28000</v>
      </c>
      <c r="S47" s="49"/>
      <c r="T47" s="49"/>
      <c r="U47" s="49"/>
      <c r="V47" s="136"/>
      <c r="W47" s="246"/>
      <c r="X47" s="55"/>
      <c r="Y47" s="55"/>
      <c r="Z47" s="55"/>
    </row>
    <row r="48" spans="1:26" ht="13.5" customHeight="1">
      <c r="A48" s="548" t="s">
        <v>1653</v>
      </c>
      <c r="B48" s="136"/>
      <c r="C48" s="56"/>
      <c r="D48" s="136" t="s">
        <v>978</v>
      </c>
      <c r="E48" s="275"/>
      <c r="F48" s="136"/>
      <c r="G48" s="49"/>
      <c r="H48" s="49"/>
      <c r="I48" s="49"/>
      <c r="J48" s="279"/>
      <c r="K48" s="279"/>
      <c r="L48" s="49"/>
      <c r="M48" s="279"/>
      <c r="N48" s="136"/>
      <c r="O48" s="275">
        <f>SUM(P48:V48)</f>
        <v>4482</v>
      </c>
      <c r="P48" s="136"/>
      <c r="Q48" s="49"/>
      <c r="R48" s="49">
        <v>4482</v>
      </c>
      <c r="S48" s="49"/>
      <c r="T48" s="49"/>
      <c r="U48" s="49"/>
      <c r="V48" s="136"/>
      <c r="W48" s="246"/>
      <c r="X48" s="55"/>
      <c r="Y48" s="55"/>
      <c r="Z48" s="55"/>
    </row>
    <row r="49" spans="1:26" ht="13.5" customHeight="1">
      <c r="A49" s="548" t="s">
        <v>1654</v>
      </c>
      <c r="B49" s="136"/>
      <c r="C49" s="56"/>
      <c r="D49" s="136" t="s">
        <v>979</v>
      </c>
      <c r="E49" s="275">
        <f>SUM(F49:N49)</f>
        <v>0</v>
      </c>
      <c r="F49" s="136"/>
      <c r="G49" s="49"/>
      <c r="H49" s="49"/>
      <c r="I49" s="49"/>
      <c r="J49" s="279"/>
      <c r="K49" s="279"/>
      <c r="L49" s="49"/>
      <c r="M49" s="279"/>
      <c r="N49" s="136"/>
      <c r="O49" s="294">
        <f>SUM(P49:V49)</f>
        <v>4483</v>
      </c>
      <c r="P49" s="136"/>
      <c r="Q49" s="49"/>
      <c r="R49" s="49">
        <v>4483</v>
      </c>
      <c r="S49" s="49"/>
      <c r="T49" s="49"/>
      <c r="U49" s="49"/>
      <c r="V49" s="136"/>
      <c r="W49" s="246"/>
      <c r="X49" s="55"/>
      <c r="Y49" s="55"/>
      <c r="Z49" s="55"/>
    </row>
    <row r="50" spans="1:26" ht="13.5" customHeight="1">
      <c r="A50" s="548" t="s">
        <v>1655</v>
      </c>
      <c r="B50" s="136"/>
      <c r="C50" s="56"/>
      <c r="D50" s="136" t="s">
        <v>1414</v>
      </c>
      <c r="E50" s="275">
        <f aca="true" t="shared" si="2" ref="E50:N50">SUM(E48:E49)</f>
        <v>0</v>
      </c>
      <c r="F50" s="136">
        <f t="shared" si="2"/>
        <v>0</v>
      </c>
      <c r="G50" s="49">
        <f t="shared" si="2"/>
        <v>0</v>
      </c>
      <c r="H50" s="49">
        <f t="shared" si="2"/>
        <v>0</v>
      </c>
      <c r="I50" s="49">
        <f t="shared" si="2"/>
        <v>0</v>
      </c>
      <c r="J50" s="279">
        <f t="shared" si="2"/>
        <v>0</v>
      </c>
      <c r="K50" s="279"/>
      <c r="L50" s="49">
        <f t="shared" si="2"/>
        <v>0</v>
      </c>
      <c r="M50" s="279">
        <f t="shared" si="2"/>
        <v>0</v>
      </c>
      <c r="N50" s="136">
        <f t="shared" si="2"/>
        <v>0</v>
      </c>
      <c r="O50" s="289">
        <f>ROUND(100*O49/O48,1)</f>
        <v>100</v>
      </c>
      <c r="P50" s="136">
        <f>SUM(P48:P49)</f>
        <v>0</v>
      </c>
      <c r="Q50" s="49">
        <f>SUM(Q48:Q49)</f>
        <v>0</v>
      </c>
      <c r="R50" s="50">
        <f>ROUND(100*R49/R48,1)</f>
        <v>100</v>
      </c>
      <c r="S50" s="49"/>
      <c r="T50" s="49"/>
      <c r="U50" s="49"/>
      <c r="V50" s="136"/>
      <c r="W50" s="246"/>
      <c r="X50" s="55"/>
      <c r="Y50" s="55"/>
      <c r="Z50" s="55"/>
    </row>
    <row r="51" spans="1:26" ht="13.5" customHeight="1">
      <c r="A51" s="546" t="s">
        <v>1180</v>
      </c>
      <c r="B51" s="136" t="s">
        <v>1656</v>
      </c>
      <c r="C51" s="56" t="s">
        <v>1657</v>
      </c>
      <c r="D51" s="136"/>
      <c r="E51" s="275"/>
      <c r="F51" s="136"/>
      <c r="G51" s="49"/>
      <c r="H51" s="49"/>
      <c r="I51" s="49"/>
      <c r="J51" s="279"/>
      <c r="K51" s="279"/>
      <c r="L51" s="49"/>
      <c r="M51" s="279"/>
      <c r="N51" s="136"/>
      <c r="O51" s="275"/>
      <c r="P51" s="136"/>
      <c r="Q51" s="49"/>
      <c r="R51" s="49"/>
      <c r="S51" s="49"/>
      <c r="T51" s="49"/>
      <c r="U51" s="49"/>
      <c r="V51" s="136"/>
      <c r="W51" s="246"/>
      <c r="X51" s="55"/>
      <c r="Y51" s="55"/>
      <c r="Z51" s="55"/>
    </row>
    <row r="52" spans="1:26" ht="13.5" customHeight="1">
      <c r="A52" s="548" t="s">
        <v>1296</v>
      </c>
      <c r="C52" s="212"/>
      <c r="D52" s="136" t="s">
        <v>1084</v>
      </c>
      <c r="E52" s="275">
        <f>SUM(F52:N52)</f>
        <v>58820</v>
      </c>
      <c r="F52" s="136">
        <v>34153</v>
      </c>
      <c r="G52" s="49"/>
      <c r="H52" s="49"/>
      <c r="I52" s="49"/>
      <c r="J52" s="279">
        <v>24667</v>
      </c>
      <c r="K52" s="279"/>
      <c r="L52" s="49"/>
      <c r="M52" s="49"/>
      <c r="N52" s="136"/>
      <c r="O52" s="275">
        <f>SUM(P52:V52)</f>
        <v>144494</v>
      </c>
      <c r="P52" s="136">
        <v>11562</v>
      </c>
      <c r="Q52" s="49">
        <v>2962</v>
      </c>
      <c r="R52" s="49">
        <v>93103</v>
      </c>
      <c r="S52" s="49">
        <v>36867</v>
      </c>
      <c r="T52" s="49"/>
      <c r="U52" s="49"/>
      <c r="V52" s="136"/>
      <c r="W52" s="246"/>
      <c r="X52" s="55"/>
      <c r="Y52" s="55"/>
      <c r="Z52" s="55"/>
    </row>
    <row r="53" spans="1:26" ht="13.5" customHeight="1">
      <c r="A53" s="548" t="s">
        <v>1298</v>
      </c>
      <c r="B53" s="136"/>
      <c r="C53" s="56"/>
      <c r="D53" s="136" t="s">
        <v>978</v>
      </c>
      <c r="E53" s="275">
        <f>SUM(F53:N53)</f>
        <v>133970</v>
      </c>
      <c r="F53" s="136">
        <v>41273</v>
      </c>
      <c r="G53" s="49"/>
      <c r="H53" s="49"/>
      <c r="I53" s="49"/>
      <c r="J53" s="279">
        <v>73586</v>
      </c>
      <c r="K53" s="279"/>
      <c r="L53" s="49"/>
      <c r="M53" s="49">
        <v>2317</v>
      </c>
      <c r="N53" s="136">
        <v>16794</v>
      </c>
      <c r="O53" s="275">
        <f>SUM(P53:W53)</f>
        <v>255616</v>
      </c>
      <c r="P53" s="136">
        <v>12641</v>
      </c>
      <c r="Q53" s="49">
        <v>3253</v>
      </c>
      <c r="R53" s="49">
        <v>102018</v>
      </c>
      <c r="S53" s="49">
        <v>46406</v>
      </c>
      <c r="T53" s="49"/>
      <c r="U53" s="49">
        <v>2852</v>
      </c>
      <c r="V53" s="136">
        <v>87106</v>
      </c>
      <c r="W53" s="34">
        <v>1340</v>
      </c>
      <c r="X53" s="55"/>
      <c r="Y53" s="55"/>
      <c r="Z53" s="55"/>
    </row>
    <row r="54" spans="1:28" ht="13.5" customHeight="1">
      <c r="A54" s="548" t="s">
        <v>1658</v>
      </c>
      <c r="B54" s="136"/>
      <c r="C54" s="56"/>
      <c r="D54" s="136" t="s">
        <v>979</v>
      </c>
      <c r="E54" s="275">
        <f>SUM(F54:N54)</f>
        <v>262118</v>
      </c>
      <c r="F54" s="136">
        <f>46379+892</f>
        <v>47271</v>
      </c>
      <c r="G54" s="49"/>
      <c r="H54" s="49"/>
      <c r="I54" s="49">
        <v>233</v>
      </c>
      <c r="J54" s="279">
        <f>76896+558+505+751+50</f>
        <v>78760</v>
      </c>
      <c r="K54" s="279"/>
      <c r="L54" s="49"/>
      <c r="M54" s="49">
        <v>117475</v>
      </c>
      <c r="N54" s="136">
        <f>17405+974</f>
        <v>18379</v>
      </c>
      <c r="O54" s="294">
        <f>SUM(P54:W54)</f>
        <v>165346</v>
      </c>
      <c r="P54" s="136">
        <v>22299</v>
      </c>
      <c r="Q54" s="49">
        <v>7213</v>
      </c>
      <c r="R54" s="49">
        <f>67505+44261-24621</f>
        <v>87145</v>
      </c>
      <c r="S54" s="49">
        <f>4069+3603+890+1085+24000+13702</f>
        <v>47349</v>
      </c>
      <c r="T54" s="49"/>
      <c r="U54" s="49"/>
      <c r="V54" s="136"/>
      <c r="W54" s="34">
        <v>1340</v>
      </c>
      <c r="X54" s="55"/>
      <c r="Y54" s="55"/>
      <c r="Z54" s="55"/>
      <c r="AB54" s="551"/>
    </row>
    <row r="55" spans="1:26" ht="13.5" customHeight="1">
      <c r="A55" s="548" t="s">
        <v>1659</v>
      </c>
      <c r="B55" s="136"/>
      <c r="C55" s="56"/>
      <c r="D55" s="136" t="s">
        <v>1414</v>
      </c>
      <c r="E55" s="289">
        <f aca="true" t="shared" si="3" ref="E55:N55">ROUND(100*E54/E53,1)</f>
        <v>195.7</v>
      </c>
      <c r="F55" s="394">
        <f t="shared" si="3"/>
        <v>114.5</v>
      </c>
      <c r="G55" s="50"/>
      <c r="H55" s="50"/>
      <c r="I55" s="50"/>
      <c r="J55" s="392">
        <f t="shared" si="3"/>
        <v>107</v>
      </c>
      <c r="K55" s="392"/>
      <c r="L55" s="50"/>
      <c r="M55" s="50">
        <f t="shared" si="3"/>
        <v>5070.1</v>
      </c>
      <c r="N55" s="394">
        <f t="shared" si="3"/>
        <v>109.4</v>
      </c>
      <c r="O55" s="289">
        <f aca="true" t="shared" si="4" ref="O55:W55">ROUND(100*O54/O53,1)</f>
        <v>64.7</v>
      </c>
      <c r="P55" s="394">
        <f t="shared" si="4"/>
        <v>176.4</v>
      </c>
      <c r="Q55" s="50">
        <f t="shared" si="4"/>
        <v>221.7</v>
      </c>
      <c r="R55" s="50">
        <f t="shared" si="4"/>
        <v>85.4</v>
      </c>
      <c r="S55" s="50">
        <f t="shared" si="4"/>
        <v>102</v>
      </c>
      <c r="T55" s="50"/>
      <c r="U55" s="50"/>
      <c r="V55" s="394"/>
      <c r="W55" s="54">
        <f t="shared" si="4"/>
        <v>100</v>
      </c>
      <c r="X55" s="55"/>
      <c r="Y55" s="55"/>
      <c r="Z55" s="55"/>
    </row>
    <row r="56" spans="1:26" ht="13.5" customHeight="1">
      <c r="A56" s="546" t="s">
        <v>1183</v>
      </c>
      <c r="B56" s="136" t="s">
        <v>1660</v>
      </c>
      <c r="C56" s="56" t="s">
        <v>1661</v>
      </c>
      <c r="D56" s="136"/>
      <c r="E56" s="275"/>
      <c r="F56" s="136"/>
      <c r="G56" s="49"/>
      <c r="H56" s="49"/>
      <c r="I56" s="49"/>
      <c r="J56" s="279"/>
      <c r="K56" s="279"/>
      <c r="L56" s="49"/>
      <c r="M56" s="49"/>
      <c r="N56" s="136"/>
      <c r="O56" s="275"/>
      <c r="P56" s="136"/>
      <c r="Q56" s="49"/>
      <c r="R56" s="49"/>
      <c r="S56" s="49"/>
      <c r="T56" s="49"/>
      <c r="U56" s="49"/>
      <c r="V56" s="136"/>
      <c r="W56" s="246"/>
      <c r="X56" s="55"/>
      <c r="Y56" s="55"/>
      <c r="Z56" s="55"/>
    </row>
    <row r="57" spans="1:26" ht="13.5" customHeight="1">
      <c r="A57" s="548" t="s">
        <v>1662</v>
      </c>
      <c r="C57" s="212"/>
      <c r="D57" s="136" t="s">
        <v>1084</v>
      </c>
      <c r="E57" s="275">
        <f>SUM(F57:N57)</f>
        <v>1485217</v>
      </c>
      <c r="F57" s="136"/>
      <c r="G57" s="49">
        <v>577313</v>
      </c>
      <c r="H57" s="49">
        <v>907904</v>
      </c>
      <c r="I57" s="49"/>
      <c r="J57" s="279"/>
      <c r="K57" s="279"/>
      <c r="L57" s="49"/>
      <c r="M57" s="49"/>
      <c r="N57" s="136"/>
      <c r="O57" s="275">
        <f>SUM(P57:V57)</f>
        <v>0</v>
      </c>
      <c r="P57" s="136"/>
      <c r="Q57" s="49"/>
      <c r="R57" s="49"/>
      <c r="S57" s="53"/>
      <c r="T57" s="53"/>
      <c r="U57" s="49"/>
      <c r="V57" s="136"/>
      <c r="W57" s="246"/>
      <c r="X57" s="55"/>
      <c r="Y57" s="55"/>
      <c r="Z57" s="55"/>
    </row>
    <row r="58" spans="1:26" ht="13.5" customHeight="1">
      <c r="A58" s="548" t="s">
        <v>1663</v>
      </c>
      <c r="B58" s="136"/>
      <c r="C58" s="56"/>
      <c r="D58" s="136" t="s">
        <v>978</v>
      </c>
      <c r="E58" s="275">
        <f>SUM(F58:N58)</f>
        <v>2019880</v>
      </c>
      <c r="F58" s="136"/>
      <c r="G58" s="49">
        <v>699235</v>
      </c>
      <c r="H58" s="49">
        <v>1320645</v>
      </c>
      <c r="I58" s="49"/>
      <c r="J58" s="279"/>
      <c r="K58" s="279"/>
      <c r="L58" s="49"/>
      <c r="M58" s="49"/>
      <c r="N58" s="136"/>
      <c r="O58" s="275"/>
      <c r="P58" s="136"/>
      <c r="Q58" s="49"/>
      <c r="R58" s="49"/>
      <c r="S58" s="53"/>
      <c r="T58" s="53"/>
      <c r="U58" s="49"/>
      <c r="V58" s="136"/>
      <c r="W58" s="246"/>
      <c r="X58" s="55"/>
      <c r="Y58" s="55"/>
      <c r="Z58" s="55"/>
    </row>
    <row r="59" spans="1:26" ht="13.5" customHeight="1">
      <c r="A59" s="548" t="s">
        <v>1664</v>
      </c>
      <c r="B59" s="136"/>
      <c r="C59" s="56"/>
      <c r="D59" s="136" t="s">
        <v>979</v>
      </c>
      <c r="E59" s="275">
        <f>SUM(F59:N59)</f>
        <v>2020405</v>
      </c>
      <c r="F59" s="136"/>
      <c r="G59" s="49">
        <v>699235</v>
      </c>
      <c r="H59" s="49">
        <v>1321170</v>
      </c>
      <c r="I59" s="49"/>
      <c r="J59" s="279"/>
      <c r="K59" s="279"/>
      <c r="L59" s="49"/>
      <c r="M59" s="49"/>
      <c r="N59" s="136"/>
      <c r="O59" s="275"/>
      <c r="P59" s="136"/>
      <c r="Q59" s="49"/>
      <c r="R59" s="49"/>
      <c r="S59" s="53"/>
      <c r="T59" s="53"/>
      <c r="U59" s="49"/>
      <c r="V59" s="136"/>
      <c r="W59" s="246"/>
      <c r="X59" s="55"/>
      <c r="Y59" s="55"/>
      <c r="Z59" s="55"/>
    </row>
    <row r="60" spans="1:26" ht="13.5" customHeight="1">
      <c r="A60" s="548" t="s">
        <v>1665</v>
      </c>
      <c r="B60" s="136"/>
      <c r="C60" s="56"/>
      <c r="D60" s="136" t="s">
        <v>1414</v>
      </c>
      <c r="E60" s="289">
        <f>ROUND(100*E59/E58,1)</f>
        <v>100</v>
      </c>
      <c r="F60" s="136">
        <f aca="true" t="shared" si="5" ref="F60:N60">SUM(F58:F59)</f>
        <v>0</v>
      </c>
      <c r="G60" s="50">
        <f>ROUND(100*G59/G58,1)</f>
        <v>100</v>
      </c>
      <c r="H60" s="50">
        <f>ROUND(100*H59/H58,1)</f>
        <v>100</v>
      </c>
      <c r="I60" s="49">
        <f t="shared" si="5"/>
        <v>0</v>
      </c>
      <c r="J60" s="279">
        <f t="shared" si="5"/>
        <v>0</v>
      </c>
      <c r="K60" s="279"/>
      <c r="L60" s="49">
        <f t="shared" si="5"/>
        <v>0</v>
      </c>
      <c r="M60" s="49">
        <f t="shared" si="5"/>
        <v>0</v>
      </c>
      <c r="N60" s="136">
        <f t="shared" si="5"/>
        <v>0</v>
      </c>
      <c r="O60" s="275"/>
      <c r="P60" s="136"/>
      <c r="Q60" s="49"/>
      <c r="R60" s="49"/>
      <c r="S60" s="53"/>
      <c r="T60" s="53"/>
      <c r="U60" s="49"/>
      <c r="V60" s="136"/>
      <c r="W60" s="246"/>
      <c r="X60" s="55"/>
      <c r="Y60" s="55"/>
      <c r="Z60" s="55"/>
    </row>
    <row r="61" spans="1:26" ht="13.5" customHeight="1">
      <c r="A61" s="546" t="s">
        <v>1176</v>
      </c>
      <c r="B61" s="136" t="s">
        <v>1666</v>
      </c>
      <c r="C61" s="56" t="s">
        <v>1667</v>
      </c>
      <c r="D61" s="136"/>
      <c r="E61" s="275"/>
      <c r="F61" s="136"/>
      <c r="G61" s="49"/>
      <c r="H61" s="49"/>
      <c r="I61" s="49"/>
      <c r="J61" s="279"/>
      <c r="K61" s="279"/>
      <c r="L61" s="49"/>
      <c r="M61" s="49"/>
      <c r="N61" s="136"/>
      <c r="O61" s="275"/>
      <c r="P61" s="136"/>
      <c r="Q61" s="49"/>
      <c r="R61" s="49"/>
      <c r="S61" s="53"/>
      <c r="T61" s="53"/>
      <c r="U61" s="49"/>
      <c r="V61" s="136"/>
      <c r="W61" s="246"/>
      <c r="X61" s="55"/>
      <c r="Y61" s="55"/>
      <c r="Z61" s="55"/>
    </row>
    <row r="62" spans="1:26" ht="13.5" customHeight="1">
      <c r="A62" s="548" t="s">
        <v>1668</v>
      </c>
      <c r="C62" s="212"/>
      <c r="D62" s="136" t="s">
        <v>1084</v>
      </c>
      <c r="E62" s="275">
        <f>SUM(F62:N62)</f>
        <v>173541</v>
      </c>
      <c r="F62" s="136"/>
      <c r="G62" s="49"/>
      <c r="H62" s="49"/>
      <c r="I62" s="49"/>
      <c r="J62" s="279"/>
      <c r="K62" s="279"/>
      <c r="L62" s="49">
        <v>173541</v>
      </c>
      <c r="M62" s="49"/>
      <c r="N62" s="136"/>
      <c r="O62" s="275"/>
      <c r="P62" s="136"/>
      <c r="Q62" s="49"/>
      <c r="R62" s="49"/>
      <c r="S62" s="53"/>
      <c r="T62" s="53"/>
      <c r="U62" s="49"/>
      <c r="V62" s="136"/>
      <c r="W62" s="246"/>
      <c r="X62" s="55"/>
      <c r="Y62" s="55"/>
      <c r="Z62" s="55"/>
    </row>
    <row r="63" spans="1:26" ht="13.5" customHeight="1">
      <c r="A63" s="548" t="s">
        <v>1669</v>
      </c>
      <c r="B63" s="136"/>
      <c r="C63" s="56"/>
      <c r="D63" s="136" t="s">
        <v>978</v>
      </c>
      <c r="E63" s="275">
        <f>SUM(F63:N63)</f>
        <v>84949</v>
      </c>
      <c r="F63" s="136"/>
      <c r="G63" s="49"/>
      <c r="H63" s="49"/>
      <c r="I63" s="49"/>
      <c r="J63" s="279"/>
      <c r="K63" s="279"/>
      <c r="L63" s="49">
        <v>84949</v>
      </c>
      <c r="M63" s="49"/>
      <c r="N63" s="136"/>
      <c r="O63" s="275"/>
      <c r="P63" s="136"/>
      <c r="Q63" s="49"/>
      <c r="R63" s="49"/>
      <c r="S63" s="53"/>
      <c r="T63" s="53"/>
      <c r="U63" s="49"/>
      <c r="V63" s="136"/>
      <c r="W63" s="246"/>
      <c r="X63" s="55"/>
      <c r="Y63" s="55"/>
      <c r="Z63" s="55"/>
    </row>
    <row r="64" spans="1:26" ht="13.5" customHeight="1">
      <c r="A64" s="548" t="s">
        <v>1670</v>
      </c>
      <c r="B64" s="136"/>
      <c r="C64" s="56"/>
      <c r="D64" s="136" t="s">
        <v>979</v>
      </c>
      <c r="E64" s="275">
        <f>SUM(F64:N64)</f>
        <v>0</v>
      </c>
      <c r="F64" s="136"/>
      <c r="G64" s="49"/>
      <c r="H64" s="49"/>
      <c r="I64" s="49"/>
      <c r="J64" s="279"/>
      <c r="K64" s="279"/>
      <c r="L64" s="49"/>
      <c r="M64" s="49"/>
      <c r="N64" s="136"/>
      <c r="O64" s="275"/>
      <c r="P64" s="136"/>
      <c r="Q64" s="49"/>
      <c r="R64" s="49"/>
      <c r="S64" s="53"/>
      <c r="T64" s="53"/>
      <c r="U64" s="49"/>
      <c r="V64" s="136"/>
      <c r="W64" s="246"/>
      <c r="X64" s="55"/>
      <c r="Y64" s="55"/>
      <c r="Z64" s="55"/>
    </row>
    <row r="65" spans="1:26" ht="13.5" customHeight="1">
      <c r="A65" s="548" t="s">
        <v>1671</v>
      </c>
      <c r="B65" s="136"/>
      <c r="C65" s="56"/>
      <c r="D65" s="136" t="s">
        <v>1414</v>
      </c>
      <c r="E65" s="289"/>
      <c r="F65" s="136">
        <f aca="true" t="shared" si="6" ref="F65:N65">SUM(F63:F64)</f>
        <v>0</v>
      </c>
      <c r="G65" s="49">
        <f t="shared" si="6"/>
        <v>0</v>
      </c>
      <c r="H65" s="49">
        <f t="shared" si="6"/>
        <v>0</v>
      </c>
      <c r="I65" s="49">
        <f t="shared" si="6"/>
        <v>0</v>
      </c>
      <c r="J65" s="279">
        <f t="shared" si="6"/>
        <v>0</v>
      </c>
      <c r="K65" s="279"/>
      <c r="L65" s="50"/>
      <c r="M65" s="49">
        <f t="shared" si="6"/>
        <v>0</v>
      </c>
      <c r="N65" s="136">
        <f t="shared" si="6"/>
        <v>0</v>
      </c>
      <c r="O65" s="275"/>
      <c r="P65" s="136"/>
      <c r="Q65" s="49"/>
      <c r="R65" s="49"/>
      <c r="S65" s="53"/>
      <c r="T65" s="53"/>
      <c r="U65" s="49"/>
      <c r="V65" s="136"/>
      <c r="W65" s="246"/>
      <c r="X65" s="55"/>
      <c r="Y65" s="55"/>
      <c r="Z65" s="55"/>
    </row>
    <row r="66" spans="1:26" ht="13.5" customHeight="1">
      <c r="A66" s="552" t="s">
        <v>1178</v>
      </c>
      <c r="B66" s="136" t="s">
        <v>1672</v>
      </c>
      <c r="C66" s="56" t="s">
        <v>1673</v>
      </c>
      <c r="D66" s="136"/>
      <c r="E66" s="275"/>
      <c r="F66" s="136"/>
      <c r="G66" s="49"/>
      <c r="H66" s="49"/>
      <c r="I66" s="49"/>
      <c r="J66" s="279"/>
      <c r="K66" s="279"/>
      <c r="L66" s="49"/>
      <c r="M66" s="49"/>
      <c r="N66" s="136"/>
      <c r="O66" s="275"/>
      <c r="P66" s="136"/>
      <c r="Q66" s="49"/>
      <c r="R66" s="49"/>
      <c r="S66" s="53"/>
      <c r="T66" s="53"/>
      <c r="U66" s="49"/>
      <c r="V66" s="136"/>
      <c r="W66" s="246"/>
      <c r="X66" s="55"/>
      <c r="Y66" s="55"/>
      <c r="Z66" s="55"/>
    </row>
    <row r="67" spans="1:26" ht="13.5" customHeight="1">
      <c r="A67" s="552" t="s">
        <v>1674</v>
      </c>
      <c r="C67" s="212"/>
      <c r="D67" s="136" t="s">
        <v>1084</v>
      </c>
      <c r="E67" s="275"/>
      <c r="F67" s="136"/>
      <c r="G67" s="49"/>
      <c r="H67" s="49"/>
      <c r="I67" s="49"/>
      <c r="J67" s="279"/>
      <c r="K67" s="279"/>
      <c r="L67" s="49"/>
      <c r="M67" s="49"/>
      <c r="N67" s="136"/>
      <c r="O67" s="275">
        <f>SUM(P67:V67)</f>
        <v>1305150</v>
      </c>
      <c r="P67" s="136"/>
      <c r="Q67" s="49"/>
      <c r="R67" s="49"/>
      <c r="S67" s="53">
        <v>1305150</v>
      </c>
      <c r="T67" s="53"/>
      <c r="U67" s="49"/>
      <c r="V67" s="136"/>
      <c r="W67" s="246"/>
      <c r="X67" s="55"/>
      <c r="Y67" s="55"/>
      <c r="Z67" s="55"/>
    </row>
    <row r="68" spans="1:26" ht="13.5" customHeight="1">
      <c r="A68" s="552" t="s">
        <v>1675</v>
      </c>
      <c r="B68" s="136"/>
      <c r="C68" s="56"/>
      <c r="D68" s="136" t="s">
        <v>978</v>
      </c>
      <c r="E68" s="275"/>
      <c r="F68" s="136"/>
      <c r="G68" s="49"/>
      <c r="H68" s="49"/>
      <c r="I68" s="49"/>
      <c r="J68" s="279"/>
      <c r="K68" s="279"/>
      <c r="L68" s="49"/>
      <c r="M68" s="49"/>
      <c r="N68" s="136"/>
      <c r="O68" s="275">
        <f>SUM(P68:V68)</f>
        <v>1440558</v>
      </c>
      <c r="P68" s="136"/>
      <c r="Q68" s="49"/>
      <c r="R68" s="49"/>
      <c r="S68" s="53">
        <v>1440558</v>
      </c>
      <c r="T68" s="53"/>
      <c r="U68" s="49"/>
      <c r="V68" s="136"/>
      <c r="W68" s="246"/>
      <c r="X68" s="55"/>
      <c r="Y68" s="55"/>
      <c r="Z68" s="55"/>
    </row>
    <row r="69" spans="1:26" ht="13.5" customHeight="1">
      <c r="A69" s="552" t="s">
        <v>1676</v>
      </c>
      <c r="B69" s="136"/>
      <c r="C69" s="56"/>
      <c r="D69" s="136" t="s">
        <v>979</v>
      </c>
      <c r="E69" s="275">
        <f>SUM(F69:M69)</f>
        <v>24786</v>
      </c>
      <c r="F69" s="136"/>
      <c r="G69" s="49"/>
      <c r="H69" s="49"/>
      <c r="I69" s="49"/>
      <c r="J69" s="279"/>
      <c r="K69" s="279">
        <v>24786</v>
      </c>
      <c r="L69" s="49"/>
      <c r="M69" s="49"/>
      <c r="N69" s="136"/>
      <c r="O69" s="294">
        <f>SUM(P69:V69)</f>
        <v>1458495</v>
      </c>
      <c r="P69" s="136"/>
      <c r="Q69" s="49"/>
      <c r="R69" s="49"/>
      <c r="S69" s="53">
        <v>1356512</v>
      </c>
      <c r="T69" s="53">
        <v>101983</v>
      </c>
      <c r="U69" s="49"/>
      <c r="V69" s="136"/>
      <c r="W69" s="246"/>
      <c r="X69" s="55"/>
      <c r="Y69" s="55"/>
      <c r="Z69" s="311"/>
    </row>
    <row r="70" spans="1:26" ht="13.5" customHeight="1">
      <c r="A70" s="553" t="s">
        <v>1677</v>
      </c>
      <c r="B70" s="136"/>
      <c r="C70" s="544"/>
      <c r="D70" s="136" t="s">
        <v>1414</v>
      </c>
      <c r="E70" s="275"/>
      <c r="F70" s="136">
        <f aca="true" t="shared" si="7" ref="F70:N70">SUM(F68:F69)</f>
        <v>0</v>
      </c>
      <c r="G70" s="49">
        <f t="shared" si="7"/>
        <v>0</v>
      </c>
      <c r="H70" s="49">
        <f t="shared" si="7"/>
        <v>0</v>
      </c>
      <c r="I70" s="49">
        <f t="shared" si="7"/>
        <v>0</v>
      </c>
      <c r="J70" s="279">
        <f t="shared" si="7"/>
        <v>0</v>
      </c>
      <c r="K70" s="279"/>
      <c r="L70" s="49">
        <f t="shared" si="7"/>
        <v>0</v>
      </c>
      <c r="M70" s="49">
        <f t="shared" si="7"/>
        <v>0</v>
      </c>
      <c r="N70" s="136">
        <f t="shared" si="7"/>
        <v>0</v>
      </c>
      <c r="O70" s="289">
        <f>ROUND(100*O69/O68,1)</f>
        <v>101.2</v>
      </c>
      <c r="P70" s="136">
        <f>SUM(P68:P69)</f>
        <v>0</v>
      </c>
      <c r="Q70" s="49">
        <f>SUM(Q68:Q69)</f>
        <v>0</v>
      </c>
      <c r="R70" s="49">
        <f>SUM(R68:R69)</f>
        <v>0</v>
      </c>
      <c r="S70" s="415">
        <f>ROUND(100*S69/S68,1)</f>
        <v>94.2</v>
      </c>
      <c r="T70" s="53"/>
      <c r="U70" s="49"/>
      <c r="V70" s="136"/>
      <c r="W70" s="246"/>
      <c r="X70" s="55"/>
      <c r="Y70" s="55"/>
      <c r="Z70" s="55"/>
    </row>
    <row r="71" spans="2:26" s="554" customFormat="1" ht="13.5" customHeight="1"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555"/>
      <c r="X71" s="311"/>
      <c r="Y71" s="311"/>
      <c r="Z71" s="311"/>
    </row>
    <row r="72" spans="2:26" s="554" customFormat="1" ht="13.5" customHeight="1"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311"/>
      <c r="X72" s="311"/>
      <c r="Y72" s="311"/>
      <c r="Z72" s="311"/>
    </row>
    <row r="73" spans="2:26" s="554" customFormat="1" ht="13.5" customHeight="1"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311"/>
      <c r="X73" s="311"/>
      <c r="Y73" s="311"/>
      <c r="Z73" s="311"/>
    </row>
    <row r="74" spans="2:26" s="554" customFormat="1" ht="13.5" customHeight="1"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336" t="s">
        <v>1448</v>
      </c>
      <c r="X74" s="311"/>
      <c r="Y74" s="311"/>
      <c r="Z74" s="311"/>
    </row>
    <row r="75" spans="2:26" s="554" customFormat="1" ht="13.5" customHeight="1"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336"/>
      <c r="X75" s="311"/>
      <c r="Y75" s="311"/>
      <c r="Z75" s="311"/>
    </row>
    <row r="76" spans="2:26" s="554" customFormat="1" ht="13.5" customHeight="1"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X76" s="311"/>
      <c r="Y76" s="311"/>
      <c r="Z76" s="311"/>
    </row>
    <row r="77" spans="2:26" s="554" customFormat="1" ht="13.5" customHeight="1"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266" t="s">
        <v>1305</v>
      </c>
      <c r="X77" s="311"/>
      <c r="Y77" s="311"/>
      <c r="Z77" s="311"/>
    </row>
    <row r="78" spans="1:26" ht="13.5" customHeight="1">
      <c r="A78" s="10"/>
      <c r="B78" s="556" t="s">
        <v>960</v>
      </c>
      <c r="C78" s="991" t="s">
        <v>961</v>
      </c>
      <c r="D78" s="991"/>
      <c r="E78" s="269" t="s">
        <v>962</v>
      </c>
      <c r="F78" s="269" t="s">
        <v>963</v>
      </c>
      <c r="G78" s="269" t="s">
        <v>964</v>
      </c>
      <c r="H78" s="269" t="s">
        <v>965</v>
      </c>
      <c r="I78" s="269" t="s">
        <v>966</v>
      </c>
      <c r="J78" s="269" t="s">
        <v>967</v>
      </c>
      <c r="K78" s="269" t="s">
        <v>968</v>
      </c>
      <c r="L78" s="269" t="s">
        <v>969</v>
      </c>
      <c r="M78" s="269" t="s">
        <v>970</v>
      </c>
      <c r="N78" s="269" t="s">
        <v>971</v>
      </c>
      <c r="O78" s="557" t="s">
        <v>972</v>
      </c>
      <c r="P78" s="557" t="s">
        <v>973</v>
      </c>
      <c r="Q78" s="557" t="s">
        <v>1480</v>
      </c>
      <c r="R78" s="557" t="s">
        <v>1481</v>
      </c>
      <c r="S78" s="269" t="s">
        <v>1482</v>
      </c>
      <c r="T78" s="269" t="s">
        <v>1483</v>
      </c>
      <c r="U78" s="269" t="s">
        <v>1484</v>
      </c>
      <c r="V78" s="10" t="s">
        <v>1486</v>
      </c>
      <c r="W78" s="10" t="s">
        <v>1487</v>
      </c>
      <c r="X78" s="55"/>
      <c r="Y78" s="55"/>
      <c r="Z78" s="55"/>
    </row>
    <row r="79" spans="1:26" ht="13.5" customHeight="1">
      <c r="A79" s="148" t="s">
        <v>1159</v>
      </c>
      <c r="B79" s="279" t="s">
        <v>1631</v>
      </c>
      <c r="C79" s="136" t="s">
        <v>1083</v>
      </c>
      <c r="D79" s="136"/>
      <c r="E79" s="275" t="s">
        <v>1405</v>
      </c>
      <c r="F79" s="136" t="s">
        <v>1493</v>
      </c>
      <c r="G79" s="136"/>
      <c r="H79" s="136"/>
      <c r="I79" s="136"/>
      <c r="J79" s="136"/>
      <c r="K79" s="136"/>
      <c r="L79" s="136"/>
      <c r="M79" s="136"/>
      <c r="N79" s="136"/>
      <c r="O79" s="275" t="s">
        <v>1405</v>
      </c>
      <c r="P79" s="136" t="s">
        <v>1494</v>
      </c>
      <c r="Q79" s="136"/>
      <c r="R79" s="136"/>
      <c r="S79" s="136"/>
      <c r="T79" s="136"/>
      <c r="U79" s="136"/>
      <c r="V79" s="136"/>
      <c r="W79" s="444"/>
      <c r="X79" s="55"/>
      <c r="Y79" s="55"/>
      <c r="Z79" s="55"/>
    </row>
    <row r="80" spans="1:26" ht="13.5" customHeight="1">
      <c r="A80" s="353"/>
      <c r="B80" s="279" t="s">
        <v>1632</v>
      </c>
      <c r="C80" s="136"/>
      <c r="D80" s="136"/>
      <c r="E80" s="275" t="s">
        <v>1407</v>
      </c>
      <c r="F80" s="277"/>
      <c r="G80" s="277"/>
      <c r="H80" s="277"/>
      <c r="I80" s="277"/>
      <c r="J80" s="277"/>
      <c r="K80" s="277"/>
      <c r="L80" s="277"/>
      <c r="M80" s="277"/>
      <c r="N80" s="136"/>
      <c r="O80" s="275" t="s">
        <v>1409</v>
      </c>
      <c r="P80" s="277"/>
      <c r="Q80" s="277"/>
      <c r="R80" s="277"/>
      <c r="S80" s="277"/>
      <c r="T80" s="277"/>
      <c r="U80" s="277"/>
      <c r="V80" s="136"/>
      <c r="W80" s="558"/>
      <c r="X80" s="55"/>
      <c r="Y80" s="55"/>
      <c r="Z80" s="55"/>
    </row>
    <row r="81" spans="1:26" ht="13.5" customHeight="1">
      <c r="A81" s="353"/>
      <c r="B81" s="279"/>
      <c r="C81" s="136"/>
      <c r="D81" s="136"/>
      <c r="E81" s="275" t="s">
        <v>1404</v>
      </c>
      <c r="F81" s="136" t="s">
        <v>1495</v>
      </c>
      <c r="G81" s="542" t="s">
        <v>1496</v>
      </c>
      <c r="H81" s="542" t="s">
        <v>1496</v>
      </c>
      <c r="I81" s="542" t="s">
        <v>1498</v>
      </c>
      <c r="J81" s="542" t="s">
        <v>1499</v>
      </c>
      <c r="K81" s="542" t="s">
        <v>1500</v>
      </c>
      <c r="L81" s="542" t="s">
        <v>1501</v>
      </c>
      <c r="M81" s="542" t="s">
        <v>1500</v>
      </c>
      <c r="N81" s="286" t="s">
        <v>1504</v>
      </c>
      <c r="O81" s="275" t="s">
        <v>1404</v>
      </c>
      <c r="P81" s="136" t="s">
        <v>1505</v>
      </c>
      <c r="Q81" s="542" t="s">
        <v>1506</v>
      </c>
      <c r="R81" s="542" t="s">
        <v>1507</v>
      </c>
      <c r="S81" s="542" t="s">
        <v>1508</v>
      </c>
      <c r="T81" s="542" t="s">
        <v>1500</v>
      </c>
      <c r="U81" s="542" t="s">
        <v>1633</v>
      </c>
      <c r="V81" s="237" t="s">
        <v>1511</v>
      </c>
      <c r="W81" s="21" t="s">
        <v>1634</v>
      </c>
      <c r="X81" s="55"/>
      <c r="Y81" s="55"/>
      <c r="Z81" s="55"/>
    </row>
    <row r="82" spans="1:26" ht="13.5" customHeight="1">
      <c r="A82" s="353"/>
      <c r="B82" s="279"/>
      <c r="C82" s="136"/>
      <c r="D82" s="136"/>
      <c r="E82" s="275"/>
      <c r="F82" s="136" t="s">
        <v>1512</v>
      </c>
      <c r="G82" s="49" t="s">
        <v>1513</v>
      </c>
      <c r="H82" s="49" t="s">
        <v>1513</v>
      </c>
      <c r="I82" s="49" t="s">
        <v>1515</v>
      </c>
      <c r="J82" s="49" t="s">
        <v>1516</v>
      </c>
      <c r="K82" s="49" t="s">
        <v>1517</v>
      </c>
      <c r="L82" s="49" t="s">
        <v>1518</v>
      </c>
      <c r="M82" s="49" t="s">
        <v>1517</v>
      </c>
      <c r="N82" s="280" t="s">
        <v>1521</v>
      </c>
      <c r="O82" s="275"/>
      <c r="P82" s="136" t="s">
        <v>1522</v>
      </c>
      <c r="Q82" s="49" t="s">
        <v>1523</v>
      </c>
      <c r="R82" s="49" t="s">
        <v>1409</v>
      </c>
      <c r="S82" s="49" t="s">
        <v>1524</v>
      </c>
      <c r="T82" s="49" t="s">
        <v>1517</v>
      </c>
      <c r="U82" s="49" t="s">
        <v>1635</v>
      </c>
      <c r="V82" s="56" t="s">
        <v>1527</v>
      </c>
      <c r="W82" s="34" t="s">
        <v>1529</v>
      </c>
      <c r="X82" s="55"/>
      <c r="Y82" s="55"/>
      <c r="Z82" s="55"/>
    </row>
    <row r="83" spans="1:26" ht="13.5" customHeight="1">
      <c r="A83" s="353"/>
      <c r="B83" s="279"/>
      <c r="C83" s="136"/>
      <c r="D83" s="136"/>
      <c r="E83" s="275"/>
      <c r="F83" s="136" t="s">
        <v>1530</v>
      </c>
      <c r="G83" s="49" t="s">
        <v>1531</v>
      </c>
      <c r="H83" s="49" t="s">
        <v>1533</v>
      </c>
      <c r="I83" s="49" t="s">
        <v>1534</v>
      </c>
      <c r="J83" s="49" t="s">
        <v>1534</v>
      </c>
      <c r="K83" s="49" t="s">
        <v>1535</v>
      </c>
      <c r="L83" s="49" t="s">
        <v>1536</v>
      </c>
      <c r="M83" s="49" t="s">
        <v>1535</v>
      </c>
      <c r="N83" s="280" t="s">
        <v>1538</v>
      </c>
      <c r="O83" s="275"/>
      <c r="P83" s="136" t="s">
        <v>1539</v>
      </c>
      <c r="Q83" s="49" t="s">
        <v>1540</v>
      </c>
      <c r="R83" s="49"/>
      <c r="S83" s="49" t="s">
        <v>1541</v>
      </c>
      <c r="T83" s="49" t="s">
        <v>1535</v>
      </c>
      <c r="U83" s="49"/>
      <c r="V83" s="56"/>
      <c r="W83" s="34" t="s">
        <v>1543</v>
      </c>
      <c r="X83" s="55"/>
      <c r="Y83" s="55"/>
      <c r="Z83" s="55"/>
    </row>
    <row r="84" spans="1:26" ht="13.5" customHeight="1">
      <c r="A84" s="353"/>
      <c r="B84" s="279"/>
      <c r="C84" s="136"/>
      <c r="D84" s="136"/>
      <c r="E84" s="275"/>
      <c r="F84" s="136" t="s">
        <v>1407</v>
      </c>
      <c r="G84" s="49" t="s">
        <v>1544</v>
      </c>
      <c r="H84" s="49" t="s">
        <v>1546</v>
      </c>
      <c r="I84" s="49" t="s">
        <v>1547</v>
      </c>
      <c r="J84" s="49" t="s">
        <v>1547</v>
      </c>
      <c r="K84" s="49" t="s">
        <v>1548</v>
      </c>
      <c r="L84" s="49"/>
      <c r="M84" s="49" t="s">
        <v>1549</v>
      </c>
      <c r="N84" s="280" t="s">
        <v>1551</v>
      </c>
      <c r="O84" s="275"/>
      <c r="P84" s="136"/>
      <c r="Q84" s="49" t="s">
        <v>1552</v>
      </c>
      <c r="R84" s="49"/>
      <c r="S84" s="49" t="s">
        <v>1553</v>
      </c>
      <c r="T84" s="49" t="s">
        <v>1554</v>
      </c>
      <c r="U84" s="49"/>
      <c r="V84" s="56"/>
      <c r="W84" s="34" t="s">
        <v>1557</v>
      </c>
      <c r="X84" s="55"/>
      <c r="Y84" s="55"/>
      <c r="Z84" s="55"/>
    </row>
    <row r="85" spans="1:26" ht="13.5" customHeight="1">
      <c r="A85" s="353"/>
      <c r="B85" s="279"/>
      <c r="C85" s="136"/>
      <c r="D85" s="136"/>
      <c r="E85" s="275"/>
      <c r="F85" s="136"/>
      <c r="G85" s="49" t="s">
        <v>1558</v>
      </c>
      <c r="H85" s="49" t="s">
        <v>1560</v>
      </c>
      <c r="I85" s="49" t="s">
        <v>1561</v>
      </c>
      <c r="J85" s="49" t="s">
        <v>1561</v>
      </c>
      <c r="K85" s="49"/>
      <c r="L85" s="49"/>
      <c r="M85" s="49" t="s">
        <v>1562</v>
      </c>
      <c r="N85" s="136"/>
      <c r="O85" s="275"/>
      <c r="P85" s="136"/>
      <c r="Q85" s="49"/>
      <c r="R85" s="49"/>
      <c r="S85" s="49" t="s">
        <v>1563</v>
      </c>
      <c r="T85" s="49"/>
      <c r="U85" s="49"/>
      <c r="V85" s="56"/>
      <c r="W85" s="34" t="s">
        <v>1565</v>
      </c>
      <c r="X85" s="55"/>
      <c r="Y85" s="55"/>
      <c r="Z85" s="55"/>
    </row>
    <row r="86" spans="1:26" ht="13.5" customHeight="1">
      <c r="A86" s="543"/>
      <c r="B86" s="284"/>
      <c r="C86" s="277"/>
      <c r="D86" s="277"/>
      <c r="E86" s="282"/>
      <c r="F86" s="277"/>
      <c r="G86" s="439" t="s">
        <v>1566</v>
      </c>
      <c r="H86" s="439" t="s">
        <v>1567</v>
      </c>
      <c r="I86" s="439"/>
      <c r="J86" s="439"/>
      <c r="K86" s="439"/>
      <c r="L86" s="439"/>
      <c r="M86" s="439" t="s">
        <v>1636</v>
      </c>
      <c r="N86" s="277"/>
      <c r="O86" s="282"/>
      <c r="P86" s="277"/>
      <c r="Q86" s="439"/>
      <c r="R86" s="439"/>
      <c r="S86" s="439"/>
      <c r="T86" s="439"/>
      <c r="U86" s="439"/>
      <c r="V86" s="544"/>
      <c r="W86" s="545"/>
      <c r="X86" s="55"/>
      <c r="Y86" s="55"/>
      <c r="Z86" s="55"/>
    </row>
    <row r="87" spans="1:26" ht="13.5" customHeight="1">
      <c r="A87" s="546" t="s">
        <v>1181</v>
      </c>
      <c r="B87" s="136" t="s">
        <v>1678</v>
      </c>
      <c r="C87" s="237" t="s">
        <v>1679</v>
      </c>
      <c r="D87" s="136"/>
      <c r="E87" s="275"/>
      <c r="F87" s="136"/>
      <c r="G87" s="49"/>
      <c r="H87" s="49"/>
      <c r="I87" s="49"/>
      <c r="J87" s="279"/>
      <c r="K87" s="279"/>
      <c r="L87" s="49"/>
      <c r="M87" s="49"/>
      <c r="N87" s="136"/>
      <c r="O87" s="275"/>
      <c r="P87" s="136"/>
      <c r="Q87" s="49"/>
      <c r="R87" s="49"/>
      <c r="S87" s="49"/>
      <c r="T87" s="49"/>
      <c r="U87" s="49"/>
      <c r="V87" s="136"/>
      <c r="W87" s="246"/>
      <c r="X87" s="55"/>
      <c r="Y87" s="55"/>
      <c r="Z87" s="55"/>
    </row>
    <row r="88" spans="1:26" ht="13.5" customHeight="1">
      <c r="A88" s="548" t="s">
        <v>1680</v>
      </c>
      <c r="C88" s="212"/>
      <c r="D88" s="136" t="s">
        <v>1084</v>
      </c>
      <c r="E88" s="275">
        <f>SUM(F88:N88)</f>
        <v>500</v>
      </c>
      <c r="F88" s="136">
        <v>500</v>
      </c>
      <c r="G88" s="49"/>
      <c r="H88" s="49"/>
      <c r="I88" s="49"/>
      <c r="J88" s="279"/>
      <c r="K88" s="279"/>
      <c r="L88" s="49"/>
      <c r="M88" s="49"/>
      <c r="N88" s="136"/>
      <c r="O88" s="275">
        <f>SUM(P88:V88)</f>
        <v>6148</v>
      </c>
      <c r="P88" s="136">
        <v>4726</v>
      </c>
      <c r="Q88" s="49">
        <v>1155</v>
      </c>
      <c r="R88" s="49">
        <v>267</v>
      </c>
      <c r="S88" s="49"/>
      <c r="T88" s="49"/>
      <c r="U88" s="49"/>
      <c r="V88" s="136"/>
      <c r="W88" s="246"/>
      <c r="X88" s="55"/>
      <c r="Y88" s="55"/>
      <c r="Z88" s="55"/>
    </row>
    <row r="89" spans="1:26" ht="13.5" customHeight="1">
      <c r="A89" s="548" t="s">
        <v>1681</v>
      </c>
      <c r="B89" s="136"/>
      <c r="C89" s="56"/>
      <c r="D89" s="136" t="s">
        <v>978</v>
      </c>
      <c r="E89" s="275">
        <f>SUM(F89:N89)</f>
        <v>0</v>
      </c>
      <c r="F89" s="136"/>
      <c r="G89" s="49"/>
      <c r="H89" s="49"/>
      <c r="I89" s="49"/>
      <c r="J89" s="279"/>
      <c r="K89" s="279"/>
      <c r="L89" s="49"/>
      <c r="M89" s="49"/>
      <c r="N89" s="136"/>
      <c r="O89" s="275">
        <f>SUM(P89:V89)</f>
        <v>3163</v>
      </c>
      <c r="P89" s="136">
        <v>2416</v>
      </c>
      <c r="Q89" s="49">
        <v>629</v>
      </c>
      <c r="R89" s="49">
        <v>118</v>
      </c>
      <c r="S89" s="49"/>
      <c r="T89" s="49"/>
      <c r="U89" s="49"/>
      <c r="V89" s="136"/>
      <c r="W89" s="246"/>
      <c r="X89" s="55"/>
      <c r="Y89" s="55"/>
      <c r="Z89" s="55"/>
    </row>
    <row r="90" spans="1:26" ht="13.5" customHeight="1">
      <c r="A90" s="548" t="s">
        <v>1682</v>
      </c>
      <c r="B90" s="136"/>
      <c r="C90" s="56"/>
      <c r="D90" s="136" t="s">
        <v>979</v>
      </c>
      <c r="E90" s="275">
        <f>SUM(F90:N90)</f>
        <v>0</v>
      </c>
      <c r="F90" s="136"/>
      <c r="G90" s="49"/>
      <c r="H90" s="49"/>
      <c r="I90" s="49"/>
      <c r="J90" s="279"/>
      <c r="K90" s="279"/>
      <c r="L90" s="49"/>
      <c r="M90" s="49"/>
      <c r="N90" s="136"/>
      <c r="O90" s="294">
        <f>SUM(P90:V90)</f>
        <v>3163</v>
      </c>
      <c r="P90" s="136">
        <v>2416</v>
      </c>
      <c r="Q90" s="49">
        <v>629</v>
      </c>
      <c r="R90" s="49">
        <v>118</v>
      </c>
      <c r="S90" s="49"/>
      <c r="T90" s="49"/>
      <c r="U90" s="49"/>
      <c r="V90" s="136"/>
      <c r="W90" s="246"/>
      <c r="X90" s="55"/>
      <c r="Y90" s="55"/>
      <c r="Z90" s="55"/>
    </row>
    <row r="91" spans="1:26" ht="13.5" customHeight="1">
      <c r="A91" s="548" t="s">
        <v>1683</v>
      </c>
      <c r="B91" s="136"/>
      <c r="C91" s="56"/>
      <c r="D91" s="136" t="s">
        <v>1414</v>
      </c>
      <c r="E91" s="294">
        <f aca="true" t="shared" si="8" ref="E91:N91">SUM(E89:E90)</f>
        <v>0</v>
      </c>
      <c r="F91" s="136">
        <f t="shared" si="8"/>
        <v>0</v>
      </c>
      <c r="G91" s="49">
        <f t="shared" si="8"/>
        <v>0</v>
      </c>
      <c r="H91" s="49">
        <f t="shared" si="8"/>
        <v>0</v>
      </c>
      <c r="I91" s="49">
        <f t="shared" si="8"/>
        <v>0</v>
      </c>
      <c r="J91" s="279">
        <f t="shared" si="8"/>
        <v>0</v>
      </c>
      <c r="K91" s="279"/>
      <c r="L91" s="49">
        <f t="shared" si="8"/>
        <v>0</v>
      </c>
      <c r="M91" s="49">
        <f t="shared" si="8"/>
        <v>0</v>
      </c>
      <c r="N91" s="136">
        <f t="shared" si="8"/>
        <v>0</v>
      </c>
      <c r="O91" s="289">
        <f>ROUND(100*O90/O89,1)</f>
        <v>100</v>
      </c>
      <c r="P91" s="394">
        <f>ROUND(100*P90/P89,1)</f>
        <v>100</v>
      </c>
      <c r="Q91" s="50">
        <f>ROUND(100*Q90/Q89,1)</f>
        <v>100</v>
      </c>
      <c r="R91" s="50">
        <f>ROUND(100*R90/R89,1)</f>
        <v>100</v>
      </c>
      <c r="S91" s="49"/>
      <c r="T91" s="49"/>
      <c r="U91" s="49"/>
      <c r="V91" s="136"/>
      <c r="W91" s="246"/>
      <c r="X91" s="55"/>
      <c r="Y91" s="55"/>
      <c r="Z91" s="55"/>
    </row>
    <row r="92" spans="1:26" ht="13.5" customHeight="1">
      <c r="A92" s="546" t="s">
        <v>1184</v>
      </c>
      <c r="B92" s="136" t="s">
        <v>1684</v>
      </c>
      <c r="C92" s="56" t="s">
        <v>1685</v>
      </c>
      <c r="D92" s="136"/>
      <c r="E92" s="294"/>
      <c r="F92" s="136"/>
      <c r="G92" s="49"/>
      <c r="H92" s="49"/>
      <c r="I92" s="49"/>
      <c r="J92" s="279"/>
      <c r="K92" s="279"/>
      <c r="L92" s="49"/>
      <c r="M92" s="49"/>
      <c r="N92" s="136"/>
      <c r="O92" s="294"/>
      <c r="P92" s="136"/>
      <c r="Q92" s="49"/>
      <c r="R92" s="49"/>
      <c r="S92" s="49"/>
      <c r="T92" s="49"/>
      <c r="U92" s="49"/>
      <c r="V92" s="136"/>
      <c r="W92" s="246"/>
      <c r="X92" s="55"/>
      <c r="Y92" s="55"/>
      <c r="Z92" s="55"/>
    </row>
    <row r="93" spans="1:26" ht="13.5" customHeight="1">
      <c r="A93" s="548" t="s">
        <v>0</v>
      </c>
      <c r="C93" s="212"/>
      <c r="D93" s="136" t="s">
        <v>1084</v>
      </c>
      <c r="E93" s="275"/>
      <c r="F93" s="136"/>
      <c r="G93" s="49"/>
      <c r="H93" s="49"/>
      <c r="I93" s="49"/>
      <c r="J93" s="279"/>
      <c r="K93" s="279"/>
      <c r="L93" s="49"/>
      <c r="M93" s="49"/>
      <c r="N93" s="136"/>
      <c r="O93" s="275">
        <f>SUM(P93:V93)</f>
        <v>2770</v>
      </c>
      <c r="P93" s="481"/>
      <c r="Q93" s="484"/>
      <c r="R93" s="49">
        <v>2770</v>
      </c>
      <c r="S93" s="484"/>
      <c r="T93" s="484"/>
      <c r="U93" s="484"/>
      <c r="V93" s="481"/>
      <c r="W93" s="246"/>
      <c r="X93" s="55"/>
      <c r="Y93" s="55"/>
      <c r="Z93" s="55"/>
    </row>
    <row r="94" spans="1:26" ht="13.5" customHeight="1">
      <c r="A94" s="548" t="s">
        <v>1</v>
      </c>
      <c r="B94" s="136"/>
      <c r="C94" s="56"/>
      <c r="D94" s="136" t="s">
        <v>978</v>
      </c>
      <c r="E94" s="275"/>
      <c r="F94" s="136"/>
      <c r="G94" s="49"/>
      <c r="H94" s="49"/>
      <c r="I94" s="49"/>
      <c r="J94" s="279"/>
      <c r="K94" s="279"/>
      <c r="L94" s="49"/>
      <c r="M94" s="49"/>
      <c r="N94" s="136"/>
      <c r="O94" s="275">
        <f>SUM(P94:V94)</f>
        <v>3041</v>
      </c>
      <c r="P94" s="481"/>
      <c r="Q94" s="484"/>
      <c r="R94" s="49">
        <v>3041</v>
      </c>
      <c r="S94" s="484"/>
      <c r="T94" s="484"/>
      <c r="U94" s="484"/>
      <c r="V94" s="481"/>
      <c r="W94" s="246"/>
      <c r="X94" s="55"/>
      <c r="Y94" s="55"/>
      <c r="Z94" s="55"/>
    </row>
    <row r="95" spans="1:26" ht="13.5" customHeight="1">
      <c r="A95" s="548" t="s">
        <v>2</v>
      </c>
      <c r="B95" s="136"/>
      <c r="C95" s="56"/>
      <c r="D95" s="136" t="s">
        <v>979</v>
      </c>
      <c r="E95" s="275"/>
      <c r="F95" s="136"/>
      <c r="G95" s="49"/>
      <c r="H95" s="49"/>
      <c r="I95" s="49"/>
      <c r="J95" s="279"/>
      <c r="K95" s="279"/>
      <c r="L95" s="49"/>
      <c r="M95" s="49"/>
      <c r="N95" s="136"/>
      <c r="O95" s="294">
        <f>SUM(P95:V95)</f>
        <v>3041</v>
      </c>
      <c r="P95" s="481"/>
      <c r="Q95" s="484"/>
      <c r="R95" s="49">
        <f>2969+72</f>
        <v>3041</v>
      </c>
      <c r="S95" s="484"/>
      <c r="T95" s="484"/>
      <c r="U95" s="484"/>
      <c r="V95" s="481"/>
      <c r="W95" s="246"/>
      <c r="X95" s="55"/>
      <c r="Y95" s="55"/>
      <c r="Z95" s="55"/>
    </row>
    <row r="96" spans="1:26" ht="13.5" customHeight="1">
      <c r="A96" s="548" t="s">
        <v>3</v>
      </c>
      <c r="B96" s="136"/>
      <c r="C96" s="56"/>
      <c r="D96" s="136" t="s">
        <v>1414</v>
      </c>
      <c r="E96" s="275">
        <f aca="true" t="shared" si="9" ref="E96:Q96">SUM(E94:E95)</f>
        <v>0</v>
      </c>
      <c r="F96" s="136">
        <f t="shared" si="9"/>
        <v>0</v>
      </c>
      <c r="G96" s="49">
        <f t="shared" si="9"/>
        <v>0</v>
      </c>
      <c r="H96" s="49">
        <f t="shared" si="9"/>
        <v>0</v>
      </c>
      <c r="I96" s="49">
        <f t="shared" si="9"/>
        <v>0</v>
      </c>
      <c r="J96" s="279">
        <f t="shared" si="9"/>
        <v>0</v>
      </c>
      <c r="K96" s="279"/>
      <c r="L96" s="49">
        <f t="shared" si="9"/>
        <v>0</v>
      </c>
      <c r="M96" s="49">
        <f t="shared" si="9"/>
        <v>0</v>
      </c>
      <c r="N96" s="136">
        <f t="shared" si="9"/>
        <v>0</v>
      </c>
      <c r="O96" s="289">
        <f>ROUND(100*O95/O94,1)</f>
        <v>100</v>
      </c>
      <c r="P96" s="481">
        <f t="shared" si="9"/>
        <v>0</v>
      </c>
      <c r="Q96" s="484">
        <f t="shared" si="9"/>
        <v>0</v>
      </c>
      <c r="R96" s="50">
        <f>ROUND(100*R95/R94,1)</f>
        <v>100</v>
      </c>
      <c r="S96" s="484"/>
      <c r="T96" s="484"/>
      <c r="U96" s="484"/>
      <c r="V96" s="481"/>
      <c r="W96" s="246"/>
      <c r="X96" s="55"/>
      <c r="Y96" s="55"/>
      <c r="Z96" s="55"/>
    </row>
    <row r="97" spans="1:26" ht="13.5" customHeight="1">
      <c r="A97" s="546" t="s">
        <v>1319</v>
      </c>
      <c r="B97" s="136" t="s">
        <v>4</v>
      </c>
      <c r="C97" s="56" t="s">
        <v>5</v>
      </c>
      <c r="D97" s="136"/>
      <c r="E97" s="275"/>
      <c r="F97" s="136"/>
      <c r="G97" s="49"/>
      <c r="H97" s="49"/>
      <c r="I97" s="49"/>
      <c r="J97" s="279"/>
      <c r="K97" s="279"/>
      <c r="L97" s="49"/>
      <c r="M97" s="49"/>
      <c r="N97" s="136"/>
      <c r="O97" s="294"/>
      <c r="P97" s="481"/>
      <c r="Q97" s="484"/>
      <c r="R97" s="49"/>
      <c r="S97" s="484"/>
      <c r="T97" s="484"/>
      <c r="U97" s="484"/>
      <c r="V97" s="481"/>
      <c r="W97" s="246"/>
      <c r="X97" s="55"/>
      <c r="Y97" s="55"/>
      <c r="Z97" s="55"/>
    </row>
    <row r="98" spans="1:26" ht="13.5" customHeight="1">
      <c r="A98" s="548" t="s">
        <v>6</v>
      </c>
      <c r="C98" s="212"/>
      <c r="D98" s="136" t="s">
        <v>1084</v>
      </c>
      <c r="E98" s="275"/>
      <c r="F98" s="136"/>
      <c r="G98" s="49"/>
      <c r="H98" s="49"/>
      <c r="I98" s="49"/>
      <c r="J98" s="279"/>
      <c r="K98" s="279"/>
      <c r="L98" s="49"/>
      <c r="M98" s="49"/>
      <c r="N98" s="136"/>
      <c r="O98" s="294"/>
      <c r="P98" s="481"/>
      <c r="Q98" s="484"/>
      <c r="R98" s="49"/>
      <c r="S98" s="484"/>
      <c r="T98" s="484"/>
      <c r="U98" s="484"/>
      <c r="V98" s="481"/>
      <c r="W98" s="246"/>
      <c r="X98" s="55"/>
      <c r="Y98" s="55"/>
      <c r="Z98" s="55"/>
    </row>
    <row r="99" spans="1:26" ht="13.5" customHeight="1">
      <c r="A99" s="548" t="s">
        <v>7</v>
      </c>
      <c r="B99" s="136"/>
      <c r="C99" s="56"/>
      <c r="D99" s="136" t="s">
        <v>978</v>
      </c>
      <c r="E99" s="275"/>
      <c r="F99" s="136"/>
      <c r="G99" s="49"/>
      <c r="H99" s="49"/>
      <c r="I99" s="49"/>
      <c r="J99" s="279"/>
      <c r="K99" s="279"/>
      <c r="L99" s="49"/>
      <c r="M99" s="49"/>
      <c r="N99" s="136"/>
      <c r="O99" s="275">
        <f>SUM(P99:V99)</f>
        <v>12</v>
      </c>
      <c r="P99" s="481"/>
      <c r="Q99" s="484"/>
      <c r="R99" s="49">
        <v>12</v>
      </c>
      <c r="S99" s="484"/>
      <c r="T99" s="484"/>
      <c r="U99" s="484"/>
      <c r="V99" s="481"/>
      <c r="W99" s="246"/>
      <c r="X99" s="55"/>
      <c r="Y99" s="55"/>
      <c r="Z99" s="55"/>
    </row>
    <row r="100" spans="1:26" ht="13.5" customHeight="1">
      <c r="A100" s="548" t="s">
        <v>8</v>
      </c>
      <c r="B100" s="136"/>
      <c r="C100" s="56"/>
      <c r="D100" s="136" t="s">
        <v>979</v>
      </c>
      <c r="E100" s="275"/>
      <c r="F100" s="136"/>
      <c r="G100" s="49"/>
      <c r="H100" s="49"/>
      <c r="I100" s="49"/>
      <c r="J100" s="279"/>
      <c r="K100" s="279"/>
      <c r="L100" s="49"/>
      <c r="M100" s="49"/>
      <c r="N100" s="136"/>
      <c r="O100" s="294">
        <f>SUM(P100:V100)</f>
        <v>13</v>
      </c>
      <c r="P100" s="481"/>
      <c r="Q100" s="484"/>
      <c r="R100" s="49">
        <v>13</v>
      </c>
      <c r="S100" s="484"/>
      <c r="T100" s="484"/>
      <c r="U100" s="484"/>
      <c r="V100" s="481"/>
      <c r="W100" s="246"/>
      <c r="X100" s="55"/>
      <c r="Y100" s="55"/>
      <c r="Z100" s="55"/>
    </row>
    <row r="101" spans="1:26" ht="13.5" customHeight="1">
      <c r="A101" s="548" t="s">
        <v>9</v>
      </c>
      <c r="B101" s="136"/>
      <c r="C101" s="56"/>
      <c r="D101" s="136" t="s">
        <v>1414</v>
      </c>
      <c r="E101" s="275"/>
      <c r="F101" s="136"/>
      <c r="G101" s="49"/>
      <c r="H101" s="49"/>
      <c r="I101" s="49"/>
      <c r="J101" s="279"/>
      <c r="K101" s="279"/>
      <c r="L101" s="49"/>
      <c r="M101" s="49"/>
      <c r="N101" s="136"/>
      <c r="O101" s="289">
        <f>ROUND(100*O100/O99,1)</f>
        <v>108.3</v>
      </c>
      <c r="P101" s="481"/>
      <c r="Q101" s="484"/>
      <c r="R101" s="50">
        <f>ROUND(100*R100/R99,1)</f>
        <v>108.3</v>
      </c>
      <c r="S101" s="484"/>
      <c r="T101" s="484"/>
      <c r="U101" s="484"/>
      <c r="V101" s="481"/>
      <c r="W101" s="246"/>
      <c r="X101" s="55"/>
      <c r="Y101" s="55"/>
      <c r="Z101" s="55"/>
    </row>
    <row r="102" spans="1:26" ht="13.5" customHeight="1">
      <c r="A102" s="546" t="s">
        <v>1321</v>
      </c>
      <c r="B102" s="136" t="s">
        <v>10</v>
      </c>
      <c r="C102" s="56" t="s">
        <v>11</v>
      </c>
      <c r="D102" s="136"/>
      <c r="E102" s="275"/>
      <c r="F102" s="136"/>
      <c r="G102" s="49"/>
      <c r="H102" s="49"/>
      <c r="I102" s="49"/>
      <c r="J102" s="279"/>
      <c r="K102" s="279"/>
      <c r="L102" s="49"/>
      <c r="M102" s="49"/>
      <c r="N102" s="136"/>
      <c r="O102" s="275"/>
      <c r="P102" s="481"/>
      <c r="Q102" s="484"/>
      <c r="R102" s="484"/>
      <c r="S102" s="484"/>
      <c r="T102" s="484"/>
      <c r="U102" s="484"/>
      <c r="V102" s="481"/>
      <c r="W102" s="246"/>
      <c r="X102" s="55"/>
      <c r="Y102" s="55"/>
      <c r="Z102" s="55"/>
    </row>
    <row r="103" spans="1:26" ht="13.5" customHeight="1">
      <c r="A103" s="548" t="s">
        <v>12</v>
      </c>
      <c r="C103" s="212"/>
      <c r="D103" s="136" t="s">
        <v>1084</v>
      </c>
      <c r="E103" s="275">
        <f>SUM(F103:N103)</f>
        <v>0</v>
      </c>
      <c r="F103" s="136"/>
      <c r="G103" s="49"/>
      <c r="H103" s="49"/>
      <c r="I103" s="49"/>
      <c r="J103" s="279"/>
      <c r="K103" s="279"/>
      <c r="L103" s="49"/>
      <c r="M103" s="49"/>
      <c r="N103" s="136"/>
      <c r="O103" s="275">
        <f>SUM(P103:V103)</f>
        <v>1000</v>
      </c>
      <c r="P103" s="136"/>
      <c r="Q103" s="49"/>
      <c r="R103" s="49"/>
      <c r="S103" s="49">
        <v>1000</v>
      </c>
      <c r="T103" s="49"/>
      <c r="U103" s="49"/>
      <c r="V103" s="136"/>
      <c r="W103" s="246"/>
      <c r="X103" s="55"/>
      <c r="Y103" s="55"/>
      <c r="Z103" s="55"/>
    </row>
    <row r="104" spans="1:26" ht="13.5" customHeight="1">
      <c r="A104" s="548" t="s">
        <v>13</v>
      </c>
      <c r="B104" s="136"/>
      <c r="C104" s="56"/>
      <c r="D104" s="136" t="s">
        <v>978</v>
      </c>
      <c r="E104" s="275">
        <f>SUM(F104:N104)</f>
        <v>0</v>
      </c>
      <c r="F104" s="136"/>
      <c r="G104" s="49"/>
      <c r="H104" s="49"/>
      <c r="I104" s="49"/>
      <c r="J104" s="279"/>
      <c r="K104" s="279"/>
      <c r="L104" s="49"/>
      <c r="M104" s="49"/>
      <c r="N104" s="136"/>
      <c r="O104" s="275">
        <f>SUM(P104:V104)</f>
        <v>640</v>
      </c>
      <c r="P104" s="136"/>
      <c r="Q104" s="49"/>
      <c r="R104" s="49"/>
      <c r="S104" s="49">
        <v>640</v>
      </c>
      <c r="T104" s="49"/>
      <c r="U104" s="49"/>
      <c r="V104" s="136"/>
      <c r="W104" s="246"/>
      <c r="X104" s="55"/>
      <c r="Y104" s="55"/>
      <c r="Z104" s="55"/>
    </row>
    <row r="105" spans="1:26" ht="13.5" customHeight="1">
      <c r="A105" s="548" t="s">
        <v>14</v>
      </c>
      <c r="B105" s="136"/>
      <c r="C105" s="56"/>
      <c r="D105" s="136" t="s">
        <v>979</v>
      </c>
      <c r="E105" s="275">
        <f>SUM(F105:N105)</f>
        <v>0</v>
      </c>
      <c r="F105" s="136"/>
      <c r="G105" s="49"/>
      <c r="H105" s="49"/>
      <c r="I105" s="49"/>
      <c r="J105" s="279"/>
      <c r="K105" s="279"/>
      <c r="L105" s="49"/>
      <c r="M105" s="49"/>
      <c r="N105" s="136"/>
      <c r="O105" s="294">
        <f>SUM(P105:V105)</f>
        <v>640</v>
      </c>
      <c r="P105" s="136"/>
      <c r="Q105" s="49"/>
      <c r="R105" s="49"/>
      <c r="S105" s="49">
        <v>640</v>
      </c>
      <c r="T105" s="49"/>
      <c r="U105" s="49"/>
      <c r="V105" s="136"/>
      <c r="W105" s="246"/>
      <c r="X105" s="55"/>
      <c r="Y105" s="55"/>
      <c r="Z105" s="55"/>
    </row>
    <row r="106" spans="1:26" ht="13.5" customHeight="1">
      <c r="A106" s="548" t="s">
        <v>15</v>
      </c>
      <c r="B106" s="136"/>
      <c r="C106" s="56"/>
      <c r="D106" s="136" t="s">
        <v>1414</v>
      </c>
      <c r="E106" s="275">
        <f aca="true" t="shared" si="10" ref="E106:V106">SUM(E104:E105)</f>
        <v>0</v>
      </c>
      <c r="F106" s="136">
        <f t="shared" si="10"/>
        <v>0</v>
      </c>
      <c r="G106" s="49">
        <f t="shared" si="10"/>
        <v>0</v>
      </c>
      <c r="H106" s="49">
        <f t="shared" si="10"/>
        <v>0</v>
      </c>
      <c r="I106" s="49">
        <f t="shared" si="10"/>
        <v>0</v>
      </c>
      <c r="J106" s="279">
        <f t="shared" si="10"/>
        <v>0</v>
      </c>
      <c r="K106" s="279"/>
      <c r="L106" s="49">
        <f t="shared" si="10"/>
        <v>0</v>
      </c>
      <c r="M106" s="49">
        <f t="shared" si="10"/>
        <v>0</v>
      </c>
      <c r="N106" s="136">
        <f t="shared" si="10"/>
        <v>0</v>
      </c>
      <c r="O106" s="289">
        <f>ROUND(100*O105/O104,1)</f>
        <v>100</v>
      </c>
      <c r="P106" s="136">
        <f t="shared" si="10"/>
        <v>0</v>
      </c>
      <c r="Q106" s="49">
        <f t="shared" si="10"/>
        <v>0</v>
      </c>
      <c r="R106" s="49">
        <f t="shared" si="10"/>
        <v>0</v>
      </c>
      <c r="S106" s="50">
        <f>ROUND(100*S105/S104,1)</f>
        <v>100</v>
      </c>
      <c r="T106" s="49"/>
      <c r="U106" s="49">
        <f t="shared" si="10"/>
        <v>0</v>
      </c>
      <c r="V106" s="136">
        <f t="shared" si="10"/>
        <v>0</v>
      </c>
      <c r="W106" s="246"/>
      <c r="X106" s="55"/>
      <c r="Y106" s="55"/>
      <c r="Z106" s="55"/>
    </row>
    <row r="107" spans="1:26" ht="13.5" customHeight="1">
      <c r="A107" s="546" t="s">
        <v>1188</v>
      </c>
      <c r="B107" s="136" t="s">
        <v>16</v>
      </c>
      <c r="C107" s="56" t="s">
        <v>17</v>
      </c>
      <c r="D107" s="287"/>
      <c r="E107" s="275"/>
      <c r="F107" s="136"/>
      <c r="G107" s="49"/>
      <c r="H107" s="49"/>
      <c r="I107" s="49"/>
      <c r="J107" s="279"/>
      <c r="K107" s="279"/>
      <c r="L107" s="49"/>
      <c r="M107" s="49"/>
      <c r="N107" s="136"/>
      <c r="O107" s="275"/>
      <c r="P107" s="136"/>
      <c r="Q107" s="49"/>
      <c r="R107" s="49"/>
      <c r="S107" s="49"/>
      <c r="T107" s="49"/>
      <c r="U107" s="49"/>
      <c r="V107" s="136"/>
      <c r="W107" s="246"/>
      <c r="X107" s="55"/>
      <c r="Y107" s="55"/>
      <c r="Z107" s="55"/>
    </row>
    <row r="108" spans="1:26" ht="13.5" customHeight="1">
      <c r="A108" s="548" t="s">
        <v>18</v>
      </c>
      <c r="C108" s="212"/>
      <c r="D108" s="136" t="s">
        <v>1084</v>
      </c>
      <c r="E108" s="275">
        <f>SUM(F108:N108)</f>
        <v>20514</v>
      </c>
      <c r="F108" s="136"/>
      <c r="G108" s="49"/>
      <c r="H108" s="49"/>
      <c r="I108" s="49">
        <v>20514</v>
      </c>
      <c r="J108" s="279"/>
      <c r="K108" s="279"/>
      <c r="L108" s="49"/>
      <c r="M108" s="49"/>
      <c r="N108" s="136"/>
      <c r="O108" s="275">
        <f>SUM(P108:V108)</f>
        <v>20514</v>
      </c>
      <c r="P108" s="136">
        <v>12044</v>
      </c>
      <c r="Q108" s="49">
        <v>3325</v>
      </c>
      <c r="R108" s="49">
        <v>5145</v>
      </c>
      <c r="S108" s="49"/>
      <c r="T108" s="49"/>
      <c r="U108" s="49"/>
      <c r="V108" s="136"/>
      <c r="W108" s="246"/>
      <c r="X108" s="55"/>
      <c r="Y108" s="55"/>
      <c r="Z108" s="55"/>
    </row>
    <row r="109" spans="1:26" ht="13.5" customHeight="1">
      <c r="A109" s="548" t="s">
        <v>19</v>
      </c>
      <c r="B109" s="136"/>
      <c r="C109" s="56"/>
      <c r="D109" s="136" t="s">
        <v>978</v>
      </c>
      <c r="E109" s="275">
        <f>SUM(F109:N109)</f>
        <v>21234</v>
      </c>
      <c r="F109" s="136">
        <v>44</v>
      </c>
      <c r="G109" s="49"/>
      <c r="H109" s="49"/>
      <c r="I109" s="49">
        <v>21190</v>
      </c>
      <c r="J109" s="279"/>
      <c r="K109" s="279"/>
      <c r="L109" s="49"/>
      <c r="M109" s="49"/>
      <c r="N109" s="136"/>
      <c r="O109" s="275">
        <f>SUM(P109:V109)</f>
        <v>17600</v>
      </c>
      <c r="P109" s="136">
        <v>12446</v>
      </c>
      <c r="Q109" s="49">
        <v>3314</v>
      </c>
      <c r="R109" s="49">
        <v>1840</v>
      </c>
      <c r="S109" s="49"/>
      <c r="T109" s="49"/>
      <c r="U109" s="49"/>
      <c r="V109" s="136"/>
      <c r="W109" s="246"/>
      <c r="X109" s="55"/>
      <c r="Y109" s="55"/>
      <c r="Z109" s="55"/>
    </row>
    <row r="110" spans="1:26" ht="13.5" customHeight="1">
      <c r="A110" s="548" t="s">
        <v>20</v>
      </c>
      <c r="B110" s="136"/>
      <c r="C110" s="56"/>
      <c r="D110" s="136" t="s">
        <v>979</v>
      </c>
      <c r="E110" s="275">
        <f>SUM(F110:N110)</f>
        <v>21236</v>
      </c>
      <c r="F110" s="136">
        <v>45</v>
      </c>
      <c r="G110" s="49"/>
      <c r="H110" s="49"/>
      <c r="I110" s="49">
        <v>21191</v>
      </c>
      <c r="J110" s="279"/>
      <c r="K110" s="279"/>
      <c r="L110" s="49"/>
      <c r="M110" s="49"/>
      <c r="N110" s="136"/>
      <c r="O110" s="294">
        <f>SUM(P110:V110)</f>
        <v>17601</v>
      </c>
      <c r="P110" s="136">
        <v>12446</v>
      </c>
      <c r="Q110" s="49">
        <v>3314</v>
      </c>
      <c r="R110" s="49">
        <f>1806+35</f>
        <v>1841</v>
      </c>
      <c r="S110" s="49"/>
      <c r="T110" s="49"/>
      <c r="U110" s="49"/>
      <c r="V110" s="136"/>
      <c r="W110" s="246"/>
      <c r="X110" s="55"/>
      <c r="Y110" s="55"/>
      <c r="Z110" s="55"/>
    </row>
    <row r="111" spans="1:26" ht="13.5" customHeight="1">
      <c r="A111" s="548" t="s">
        <v>21</v>
      </c>
      <c r="B111" s="136"/>
      <c r="C111" s="56"/>
      <c r="D111" s="136" t="s">
        <v>1414</v>
      </c>
      <c r="E111" s="289">
        <f>ROUND(100*E110/E109,1)</f>
        <v>100</v>
      </c>
      <c r="F111" s="394">
        <f>ROUND(100*F110/F109,1)</f>
        <v>102.3</v>
      </c>
      <c r="G111" s="50"/>
      <c r="H111" s="50"/>
      <c r="I111" s="50">
        <f>ROUND(100*I110/I109,1)</f>
        <v>100</v>
      </c>
      <c r="J111" s="279">
        <f>SUM(J109:J110)</f>
        <v>0</v>
      </c>
      <c r="K111" s="279"/>
      <c r="L111" s="49">
        <f>SUM(L109:L110)</f>
        <v>0</v>
      </c>
      <c r="M111" s="49">
        <f>SUM(M109:M110)</f>
        <v>0</v>
      </c>
      <c r="N111" s="136">
        <f>SUM(N109:N110)</f>
        <v>0</v>
      </c>
      <c r="O111" s="289">
        <f>ROUND(100*O110/O109,1)</f>
        <v>100</v>
      </c>
      <c r="P111" s="394">
        <f>ROUND(100*P110/P109,1)</f>
        <v>100</v>
      </c>
      <c r="Q111" s="50">
        <f>ROUND(100*Q110/Q109,1)</f>
        <v>100</v>
      </c>
      <c r="R111" s="50">
        <f>ROUND(100*R110/R109,1)</f>
        <v>100.1</v>
      </c>
      <c r="S111" s="49">
        <f>SUM(S109:S110)</f>
        <v>0</v>
      </c>
      <c r="T111" s="49"/>
      <c r="U111" s="49">
        <f>SUM(U109:U110)</f>
        <v>0</v>
      </c>
      <c r="V111" s="136">
        <f>SUM(V109:V110)</f>
        <v>0</v>
      </c>
      <c r="W111" s="246"/>
      <c r="X111" s="55"/>
      <c r="Y111" s="55"/>
      <c r="Z111" s="55"/>
    </row>
    <row r="112" spans="1:26" ht="13.5" customHeight="1">
      <c r="A112" s="546" t="s">
        <v>1324</v>
      </c>
      <c r="B112" s="136" t="s">
        <v>22</v>
      </c>
      <c r="C112" s="56" t="s">
        <v>23</v>
      </c>
      <c r="D112" s="287"/>
      <c r="E112" s="275"/>
      <c r="F112" s="136"/>
      <c r="G112" s="49"/>
      <c r="H112" s="49"/>
      <c r="I112" s="49"/>
      <c r="J112" s="279"/>
      <c r="K112" s="279"/>
      <c r="L112" s="49"/>
      <c r="M112" s="49"/>
      <c r="N112" s="136"/>
      <c r="O112" s="275"/>
      <c r="P112" s="136"/>
      <c r="Q112" s="49"/>
      <c r="R112" s="49"/>
      <c r="S112" s="49"/>
      <c r="T112" s="49"/>
      <c r="U112" s="49"/>
      <c r="V112" s="136"/>
      <c r="W112" s="246"/>
      <c r="X112" s="55"/>
      <c r="Y112" s="55"/>
      <c r="Z112" s="55"/>
    </row>
    <row r="113" spans="1:26" ht="13.5" customHeight="1">
      <c r="A113" s="548" t="s">
        <v>24</v>
      </c>
      <c r="C113" s="212"/>
      <c r="D113" s="136" t="s">
        <v>1084</v>
      </c>
      <c r="E113" s="275">
        <f>SUM(F113:N113)</f>
        <v>7012</v>
      </c>
      <c r="F113" s="136"/>
      <c r="G113" s="49"/>
      <c r="H113" s="49"/>
      <c r="I113" s="49">
        <v>7012</v>
      </c>
      <c r="J113" s="279"/>
      <c r="K113" s="279"/>
      <c r="L113" s="49"/>
      <c r="M113" s="49"/>
      <c r="N113" s="136"/>
      <c r="O113" s="275">
        <f>SUM(P113:V113)</f>
        <v>7012</v>
      </c>
      <c r="P113" s="136">
        <v>3799</v>
      </c>
      <c r="Q113" s="49">
        <v>1034</v>
      </c>
      <c r="R113" s="49">
        <v>2179</v>
      </c>
      <c r="S113" s="49"/>
      <c r="T113" s="49"/>
      <c r="U113" s="49"/>
      <c r="V113" s="136"/>
      <c r="W113" s="246"/>
      <c r="X113" s="55"/>
      <c r="Y113" s="55"/>
      <c r="Z113" s="55"/>
    </row>
    <row r="114" spans="1:26" ht="13.5" customHeight="1">
      <c r="A114" s="548" t="s">
        <v>25</v>
      </c>
      <c r="B114" s="136"/>
      <c r="C114" s="56"/>
      <c r="D114" s="136" t="s">
        <v>978</v>
      </c>
      <c r="E114" s="275">
        <f>SUM(F114:N114)</f>
        <v>7258</v>
      </c>
      <c r="F114" s="136">
        <v>44</v>
      </c>
      <c r="G114" s="49"/>
      <c r="H114" s="49"/>
      <c r="I114" s="49">
        <v>7214</v>
      </c>
      <c r="J114" s="279"/>
      <c r="K114" s="279"/>
      <c r="L114" s="49"/>
      <c r="M114" s="49"/>
      <c r="N114" s="136"/>
      <c r="O114" s="275">
        <f>SUM(P114:V114)</f>
        <v>4853</v>
      </c>
      <c r="P114" s="136">
        <v>3573</v>
      </c>
      <c r="Q114" s="49">
        <v>944</v>
      </c>
      <c r="R114" s="49">
        <v>336</v>
      </c>
      <c r="S114" s="49"/>
      <c r="T114" s="49"/>
      <c r="U114" s="49"/>
      <c r="V114" s="136"/>
      <c r="W114" s="246"/>
      <c r="X114" s="55"/>
      <c r="Y114" s="55"/>
      <c r="Z114" s="55"/>
    </row>
    <row r="115" spans="1:26" ht="13.5" customHeight="1">
      <c r="A115" s="548" t="s">
        <v>26</v>
      </c>
      <c r="B115" s="136"/>
      <c r="C115" s="56"/>
      <c r="D115" s="136" t="s">
        <v>979</v>
      </c>
      <c r="E115" s="275">
        <f>SUM(F115:N115)</f>
        <v>7258</v>
      </c>
      <c r="F115" s="136">
        <v>44</v>
      </c>
      <c r="G115" s="49"/>
      <c r="H115" s="49"/>
      <c r="I115" s="49">
        <v>7214</v>
      </c>
      <c r="J115" s="279"/>
      <c r="K115" s="279"/>
      <c r="L115" s="49"/>
      <c r="M115" s="49"/>
      <c r="N115" s="136"/>
      <c r="O115" s="294">
        <f>SUM(P115:V115)</f>
        <v>4852</v>
      </c>
      <c r="P115" s="136">
        <v>3572</v>
      </c>
      <c r="Q115" s="49">
        <v>944</v>
      </c>
      <c r="R115" s="49">
        <v>336</v>
      </c>
      <c r="S115" s="49"/>
      <c r="T115" s="49"/>
      <c r="U115" s="49"/>
      <c r="V115" s="136"/>
      <c r="W115" s="246"/>
      <c r="X115" s="55"/>
      <c r="Y115" s="55"/>
      <c r="Z115" s="55"/>
    </row>
    <row r="116" spans="1:26" ht="13.5" customHeight="1">
      <c r="A116" s="548" t="s">
        <v>27</v>
      </c>
      <c r="B116" s="136"/>
      <c r="C116" s="56"/>
      <c r="D116" s="136" t="s">
        <v>1414</v>
      </c>
      <c r="E116" s="289">
        <f>ROUND(100*E115/E114,1)</f>
        <v>100</v>
      </c>
      <c r="F116" s="394">
        <f>ROUND(100*F115/F114,1)</f>
        <v>100</v>
      </c>
      <c r="G116" s="49">
        <f aca="true" t="shared" si="11" ref="G116:V116">SUM(G114:G115)</f>
        <v>0</v>
      </c>
      <c r="H116" s="49">
        <f t="shared" si="11"/>
        <v>0</v>
      </c>
      <c r="I116" s="50">
        <f>ROUND(100*I115/I114,1)</f>
        <v>100</v>
      </c>
      <c r="J116" s="279">
        <f t="shared" si="11"/>
        <v>0</v>
      </c>
      <c r="K116" s="279"/>
      <c r="L116" s="49">
        <f t="shared" si="11"/>
        <v>0</v>
      </c>
      <c r="M116" s="49">
        <f t="shared" si="11"/>
        <v>0</v>
      </c>
      <c r="N116" s="136">
        <f t="shared" si="11"/>
        <v>0</v>
      </c>
      <c r="O116" s="289">
        <f>ROUND(100*O115/O114,1)</f>
        <v>100</v>
      </c>
      <c r="P116" s="394">
        <f>ROUND(100*P115/P114,1)</f>
        <v>100</v>
      </c>
      <c r="Q116" s="50">
        <f>ROUND(100*Q115/Q114,1)</f>
        <v>100</v>
      </c>
      <c r="R116" s="50">
        <f>ROUND(100*R115/R114,1)</f>
        <v>100</v>
      </c>
      <c r="S116" s="49">
        <f t="shared" si="11"/>
        <v>0</v>
      </c>
      <c r="T116" s="49"/>
      <c r="U116" s="49">
        <f t="shared" si="11"/>
        <v>0</v>
      </c>
      <c r="V116" s="136">
        <f t="shared" si="11"/>
        <v>0</v>
      </c>
      <c r="W116" s="246"/>
      <c r="X116" s="55"/>
      <c r="Y116" s="55"/>
      <c r="Z116" s="55"/>
    </row>
    <row r="117" spans="1:26" ht="13.5" customHeight="1">
      <c r="A117" s="546" t="s">
        <v>1326</v>
      </c>
      <c r="B117" s="136" t="s">
        <v>28</v>
      </c>
      <c r="C117" s="56" t="s">
        <v>29</v>
      </c>
      <c r="D117" s="287"/>
      <c r="E117" s="275"/>
      <c r="F117" s="136"/>
      <c r="G117" s="49"/>
      <c r="H117" s="49"/>
      <c r="I117" s="49"/>
      <c r="J117" s="279"/>
      <c r="K117" s="279"/>
      <c r="L117" s="49"/>
      <c r="M117" s="49"/>
      <c r="N117" s="136"/>
      <c r="O117" s="275"/>
      <c r="P117" s="136"/>
      <c r="Q117" s="49"/>
      <c r="R117" s="49"/>
      <c r="S117" s="49"/>
      <c r="T117" s="49"/>
      <c r="U117" s="49"/>
      <c r="V117" s="136"/>
      <c r="W117" s="246"/>
      <c r="X117" s="55"/>
      <c r="Y117" s="55"/>
      <c r="Z117" s="55"/>
    </row>
    <row r="118" spans="1:26" ht="13.5" customHeight="1">
      <c r="A118" s="548" t="s">
        <v>30</v>
      </c>
      <c r="C118" s="212"/>
      <c r="D118" s="136" t="s">
        <v>1084</v>
      </c>
      <c r="E118" s="275">
        <f>SUM(F118:M118)</f>
        <v>0</v>
      </c>
      <c r="F118" s="136"/>
      <c r="G118" s="49"/>
      <c r="H118" s="49"/>
      <c r="I118" s="49"/>
      <c r="J118" s="279"/>
      <c r="K118" s="279"/>
      <c r="L118" s="49"/>
      <c r="M118" s="49"/>
      <c r="N118" s="136"/>
      <c r="O118" s="275">
        <f>SUM(P118:W118)</f>
        <v>18981</v>
      </c>
      <c r="P118" s="136"/>
      <c r="Q118" s="49"/>
      <c r="R118" s="49"/>
      <c r="S118" s="49">
        <v>18981</v>
      </c>
      <c r="T118" s="49"/>
      <c r="U118" s="49"/>
      <c r="V118" s="136"/>
      <c r="W118" s="246"/>
      <c r="X118" s="55"/>
      <c r="Y118" s="55"/>
      <c r="Z118" s="55"/>
    </row>
    <row r="119" spans="1:26" ht="13.5" customHeight="1">
      <c r="A119" s="548" t="s">
        <v>31</v>
      </c>
      <c r="B119" s="136"/>
      <c r="C119" s="56"/>
      <c r="D119" s="136" t="s">
        <v>978</v>
      </c>
      <c r="E119" s="275"/>
      <c r="F119" s="136"/>
      <c r="G119" s="49"/>
      <c r="H119" s="49"/>
      <c r="I119" s="49"/>
      <c r="J119" s="279"/>
      <c r="K119" s="279"/>
      <c r="L119" s="49"/>
      <c r="M119" s="49"/>
      <c r="N119" s="136"/>
      <c r="O119" s="275">
        <f>SUM(P119:W119)</f>
        <v>114371</v>
      </c>
      <c r="P119" s="136"/>
      <c r="Q119" s="49"/>
      <c r="R119" s="49"/>
      <c r="S119" s="49">
        <v>114371</v>
      </c>
      <c r="T119" s="49"/>
      <c r="U119" s="49"/>
      <c r="V119" s="136"/>
      <c r="W119" s="246"/>
      <c r="X119" s="55"/>
      <c r="Y119" s="55"/>
      <c r="Z119" s="55"/>
    </row>
    <row r="120" spans="1:26" ht="13.5" customHeight="1">
      <c r="A120" s="548" t="s">
        <v>32</v>
      </c>
      <c r="B120" s="136"/>
      <c r="C120" s="56"/>
      <c r="D120" s="136" t="s">
        <v>979</v>
      </c>
      <c r="E120" s="275">
        <f>SUM(F120:N120)</f>
        <v>0</v>
      </c>
      <c r="F120" s="136"/>
      <c r="G120" s="49"/>
      <c r="H120" s="49"/>
      <c r="I120" s="49"/>
      <c r="J120" s="279"/>
      <c r="K120" s="279"/>
      <c r="L120" s="49"/>
      <c r="M120" s="49"/>
      <c r="N120" s="136"/>
      <c r="O120" s="294">
        <f>SUM(P120:W120)</f>
        <v>114371</v>
      </c>
      <c r="P120" s="136"/>
      <c r="Q120" s="49"/>
      <c r="R120" s="49"/>
      <c r="S120" s="49">
        <v>114371</v>
      </c>
      <c r="T120" s="49"/>
      <c r="U120" s="49"/>
      <c r="V120" s="136"/>
      <c r="W120" s="246"/>
      <c r="X120" s="55"/>
      <c r="Y120" s="55"/>
      <c r="Z120" s="55"/>
    </row>
    <row r="121" spans="1:26" ht="13.5" customHeight="1">
      <c r="A121" s="548" t="s">
        <v>33</v>
      </c>
      <c r="B121" s="136"/>
      <c r="C121" s="56"/>
      <c r="D121" s="136" t="s">
        <v>1414</v>
      </c>
      <c r="E121" s="275"/>
      <c r="F121" s="136"/>
      <c r="G121" s="49"/>
      <c r="H121" s="49"/>
      <c r="I121" s="49"/>
      <c r="J121" s="279"/>
      <c r="K121" s="279"/>
      <c r="L121" s="49"/>
      <c r="M121" s="49"/>
      <c r="N121" s="136"/>
      <c r="O121" s="289">
        <f>ROUND(100*O120/O119,1)</f>
        <v>100</v>
      </c>
      <c r="P121" s="136">
        <f aca="true" t="shared" si="12" ref="P121:V121">SUM(P119:P120)</f>
        <v>0</v>
      </c>
      <c r="Q121" s="49">
        <f t="shared" si="12"/>
        <v>0</v>
      </c>
      <c r="R121" s="49">
        <f t="shared" si="12"/>
        <v>0</v>
      </c>
      <c r="S121" s="50">
        <f>ROUND(100*S120/S119,1)</f>
        <v>100</v>
      </c>
      <c r="T121" s="49"/>
      <c r="U121" s="49">
        <f t="shared" si="12"/>
        <v>0</v>
      </c>
      <c r="V121" s="136">
        <f t="shared" si="12"/>
        <v>0</v>
      </c>
      <c r="W121" s="246"/>
      <c r="X121" s="55"/>
      <c r="Y121" s="55"/>
      <c r="Z121" s="55"/>
    </row>
    <row r="122" spans="1:26" ht="13.5" customHeight="1">
      <c r="A122" s="546" t="s">
        <v>1327</v>
      </c>
      <c r="B122" s="136" t="s">
        <v>34</v>
      </c>
      <c r="C122" s="56" t="s">
        <v>1312</v>
      </c>
      <c r="D122" s="287"/>
      <c r="E122" s="275"/>
      <c r="F122" s="136"/>
      <c r="G122" s="49"/>
      <c r="H122" s="49"/>
      <c r="I122" s="49"/>
      <c r="J122" s="279"/>
      <c r="K122" s="279"/>
      <c r="L122" s="49"/>
      <c r="M122" s="49"/>
      <c r="N122" s="136"/>
      <c r="O122" s="275"/>
      <c r="P122" s="136"/>
      <c r="Q122" s="49"/>
      <c r="R122" s="49"/>
      <c r="S122" s="49"/>
      <c r="T122" s="49"/>
      <c r="U122" s="49"/>
      <c r="V122" s="136"/>
      <c r="W122" s="246"/>
      <c r="X122" s="55"/>
      <c r="Y122" s="55"/>
      <c r="Z122" s="55"/>
    </row>
    <row r="123" spans="1:26" ht="13.5" customHeight="1">
      <c r="A123" s="548" t="s">
        <v>35</v>
      </c>
      <c r="C123" s="212"/>
      <c r="D123" s="136" t="s">
        <v>1084</v>
      </c>
      <c r="E123" s="275">
        <f>SUM(F123:M123)</f>
        <v>0</v>
      </c>
      <c r="F123" s="136"/>
      <c r="G123" s="49"/>
      <c r="H123" s="49"/>
      <c r="I123" s="49"/>
      <c r="J123" s="279"/>
      <c r="K123" s="279"/>
      <c r="L123" s="49"/>
      <c r="M123" s="49"/>
      <c r="N123" s="136"/>
      <c r="O123" s="275">
        <f>SUM(P123:W123)</f>
        <v>575</v>
      </c>
      <c r="P123" s="136"/>
      <c r="Q123" s="49"/>
      <c r="R123" s="49"/>
      <c r="S123" s="49">
        <v>575</v>
      </c>
      <c r="T123" s="49"/>
      <c r="U123" s="49"/>
      <c r="V123" s="136"/>
      <c r="W123" s="246"/>
      <c r="X123" s="55"/>
      <c r="Y123" s="55"/>
      <c r="Z123" s="55"/>
    </row>
    <row r="124" spans="1:26" ht="13.5" customHeight="1">
      <c r="A124" s="548" t="s">
        <v>36</v>
      </c>
      <c r="B124" s="136"/>
      <c r="C124" s="56"/>
      <c r="D124" s="136" t="s">
        <v>978</v>
      </c>
      <c r="E124" s="275"/>
      <c r="F124" s="136"/>
      <c r="G124" s="49"/>
      <c r="H124" s="49"/>
      <c r="I124" s="49"/>
      <c r="J124" s="279"/>
      <c r="K124" s="279"/>
      <c r="L124" s="49"/>
      <c r="M124" s="49"/>
      <c r="N124" s="136"/>
      <c r="O124" s="275">
        <f>SUM(P124:W124)</f>
        <v>2942</v>
      </c>
      <c r="P124" s="136"/>
      <c r="Q124" s="49"/>
      <c r="R124" s="49"/>
      <c r="S124" s="49">
        <v>2942</v>
      </c>
      <c r="T124" s="49"/>
      <c r="U124" s="49"/>
      <c r="V124" s="136"/>
      <c r="W124" s="246"/>
      <c r="X124" s="55"/>
      <c r="Y124" s="55"/>
      <c r="Z124" s="55"/>
    </row>
    <row r="125" spans="1:26" ht="13.5" customHeight="1">
      <c r="A125" s="548" t="s">
        <v>37</v>
      </c>
      <c r="B125" s="136"/>
      <c r="C125" s="56"/>
      <c r="D125" s="136" t="s">
        <v>979</v>
      </c>
      <c r="E125" s="275">
        <f>SUM(F125:N125)</f>
        <v>0</v>
      </c>
      <c r="F125" s="136"/>
      <c r="G125" s="49"/>
      <c r="H125" s="49"/>
      <c r="I125" s="49"/>
      <c r="J125" s="279"/>
      <c r="K125" s="279"/>
      <c r="L125" s="49"/>
      <c r="M125" s="49"/>
      <c r="N125" s="136"/>
      <c r="O125" s="294">
        <f>SUM(P125:W125)</f>
        <v>2942</v>
      </c>
      <c r="P125" s="136"/>
      <c r="Q125" s="49"/>
      <c r="R125" s="49"/>
      <c r="S125" s="49">
        <v>2942</v>
      </c>
      <c r="T125" s="49"/>
      <c r="U125" s="49"/>
      <c r="V125" s="136"/>
      <c r="W125" s="246"/>
      <c r="X125" s="55"/>
      <c r="Y125" s="55"/>
      <c r="Z125" s="55"/>
    </row>
    <row r="126" spans="1:26" ht="13.5" customHeight="1">
      <c r="A126" s="548" t="s">
        <v>38</v>
      </c>
      <c r="B126" s="136"/>
      <c r="C126" s="56"/>
      <c r="D126" s="136" t="s">
        <v>1414</v>
      </c>
      <c r="E126" s="275"/>
      <c r="F126" s="136"/>
      <c r="G126" s="49"/>
      <c r="H126" s="49"/>
      <c r="I126" s="49"/>
      <c r="J126" s="279"/>
      <c r="K126" s="279"/>
      <c r="L126" s="49"/>
      <c r="M126" s="49"/>
      <c r="N126" s="136"/>
      <c r="O126" s="289">
        <f>ROUND(100*O125/O124,1)</f>
        <v>100</v>
      </c>
      <c r="P126" s="136">
        <f aca="true" t="shared" si="13" ref="P126:V126">SUM(P124:P125)</f>
        <v>0</v>
      </c>
      <c r="Q126" s="49">
        <f t="shared" si="13"/>
        <v>0</v>
      </c>
      <c r="R126" s="49">
        <f t="shared" si="13"/>
        <v>0</v>
      </c>
      <c r="S126" s="50">
        <f>ROUND(100*S125/S124,1)</f>
        <v>100</v>
      </c>
      <c r="T126" s="49"/>
      <c r="U126" s="49">
        <f t="shared" si="13"/>
        <v>0</v>
      </c>
      <c r="V126" s="136">
        <f t="shared" si="13"/>
        <v>0</v>
      </c>
      <c r="W126" s="246"/>
      <c r="X126" s="55"/>
      <c r="Y126" s="55"/>
      <c r="Z126" s="55"/>
    </row>
    <row r="127" spans="1:26" ht="13.5" customHeight="1">
      <c r="A127" s="546" t="s">
        <v>1329</v>
      </c>
      <c r="B127" s="136" t="s">
        <v>39</v>
      </c>
      <c r="C127" s="56" t="s">
        <v>40</v>
      </c>
      <c r="D127" s="287"/>
      <c r="E127" s="275"/>
      <c r="F127" s="136"/>
      <c r="G127" s="49"/>
      <c r="H127" s="49"/>
      <c r="I127" s="49"/>
      <c r="J127" s="279"/>
      <c r="K127" s="279"/>
      <c r="L127" s="49"/>
      <c r="M127" s="49"/>
      <c r="N127" s="136"/>
      <c r="O127" s="275"/>
      <c r="P127" s="136"/>
      <c r="Q127" s="49"/>
      <c r="R127" s="49"/>
      <c r="S127" s="49"/>
      <c r="T127" s="49"/>
      <c r="U127" s="49"/>
      <c r="V127" s="136"/>
      <c r="W127" s="246"/>
      <c r="X127" s="55"/>
      <c r="Y127" s="55"/>
      <c r="Z127" s="55"/>
    </row>
    <row r="128" spans="1:26" ht="13.5" customHeight="1">
      <c r="A128" s="548" t="s">
        <v>41</v>
      </c>
      <c r="C128" s="212"/>
      <c r="D128" s="136" t="s">
        <v>1084</v>
      </c>
      <c r="E128" s="275">
        <f>SUM(F128:M128)</f>
        <v>0</v>
      </c>
      <c r="F128" s="136"/>
      <c r="G128" s="49"/>
      <c r="H128" s="49"/>
      <c r="I128" s="49"/>
      <c r="J128" s="279"/>
      <c r="K128" s="279"/>
      <c r="L128" s="49"/>
      <c r="M128" s="49"/>
      <c r="N128" s="136"/>
      <c r="O128" s="275">
        <f>SUM(P128:W128)</f>
        <v>3120</v>
      </c>
      <c r="P128" s="136"/>
      <c r="Q128" s="49"/>
      <c r="R128" s="49"/>
      <c r="S128" s="49">
        <v>3120</v>
      </c>
      <c r="T128" s="49"/>
      <c r="U128" s="49"/>
      <c r="V128" s="136"/>
      <c r="W128" s="246"/>
      <c r="X128" s="55"/>
      <c r="Y128" s="55"/>
      <c r="Z128" s="55"/>
    </row>
    <row r="129" spans="1:26" ht="13.5" customHeight="1">
      <c r="A129" s="548" t="s">
        <v>42</v>
      </c>
      <c r="B129" s="136"/>
      <c r="C129" s="56"/>
      <c r="D129" s="136" t="s">
        <v>978</v>
      </c>
      <c r="E129" s="275"/>
      <c r="F129" s="136"/>
      <c r="G129" s="49"/>
      <c r="H129" s="49"/>
      <c r="I129" s="49"/>
      <c r="J129" s="279"/>
      <c r="K129" s="279"/>
      <c r="L129" s="49"/>
      <c r="M129" s="49"/>
      <c r="N129" s="136"/>
      <c r="O129" s="275">
        <f>SUM(P129:W129)</f>
        <v>15881</v>
      </c>
      <c r="P129" s="136"/>
      <c r="Q129" s="49"/>
      <c r="R129" s="49"/>
      <c r="S129" s="49">
        <v>15881</v>
      </c>
      <c r="T129" s="49"/>
      <c r="U129" s="49"/>
      <c r="V129" s="136"/>
      <c r="W129" s="246"/>
      <c r="X129" s="55"/>
      <c r="Y129" s="55"/>
      <c r="Z129" s="55"/>
    </row>
    <row r="130" spans="1:26" ht="13.5" customHeight="1">
      <c r="A130" s="548" t="s">
        <v>43</v>
      </c>
      <c r="B130" s="136"/>
      <c r="C130" s="56"/>
      <c r="D130" s="136" t="s">
        <v>979</v>
      </c>
      <c r="E130" s="275">
        <f>SUM(F130:N130)</f>
        <v>0</v>
      </c>
      <c r="F130" s="136"/>
      <c r="G130" s="49"/>
      <c r="H130" s="49"/>
      <c r="I130" s="49"/>
      <c r="J130" s="279"/>
      <c r="K130" s="279"/>
      <c r="L130" s="49"/>
      <c r="M130" s="49"/>
      <c r="N130" s="136"/>
      <c r="O130" s="294">
        <f>SUM(P130:W130)</f>
        <v>15881</v>
      </c>
      <c r="P130" s="136"/>
      <c r="Q130" s="49"/>
      <c r="R130" s="49"/>
      <c r="S130" s="49">
        <v>15881</v>
      </c>
      <c r="T130" s="49"/>
      <c r="U130" s="49"/>
      <c r="V130" s="136"/>
      <c r="W130" s="246"/>
      <c r="X130" s="55"/>
      <c r="Y130" s="55"/>
      <c r="Z130" s="55"/>
    </row>
    <row r="131" spans="1:26" ht="13.5" customHeight="1">
      <c r="A131" s="548" t="s">
        <v>44</v>
      </c>
      <c r="B131" s="136"/>
      <c r="C131" s="56"/>
      <c r="D131" s="136" t="s">
        <v>1414</v>
      </c>
      <c r="E131" s="275"/>
      <c r="F131" s="136"/>
      <c r="G131" s="49"/>
      <c r="H131" s="49"/>
      <c r="I131" s="49"/>
      <c r="J131" s="279"/>
      <c r="K131" s="279"/>
      <c r="L131" s="49"/>
      <c r="M131" s="49"/>
      <c r="N131" s="136"/>
      <c r="O131" s="289">
        <f>ROUND(100*O130/O129,1)</f>
        <v>100</v>
      </c>
      <c r="P131" s="136">
        <f aca="true" t="shared" si="14" ref="P131:V131">SUM(P129:P130)</f>
        <v>0</v>
      </c>
      <c r="Q131" s="49">
        <f t="shared" si="14"/>
        <v>0</v>
      </c>
      <c r="R131" s="49">
        <f t="shared" si="14"/>
        <v>0</v>
      </c>
      <c r="S131" s="50">
        <f>ROUND(100*S130/S129,1)</f>
        <v>100</v>
      </c>
      <c r="T131" s="49"/>
      <c r="U131" s="49">
        <f t="shared" si="14"/>
        <v>0</v>
      </c>
      <c r="V131" s="136">
        <f t="shared" si="14"/>
        <v>0</v>
      </c>
      <c r="W131" s="246"/>
      <c r="X131" s="55"/>
      <c r="Y131" s="55"/>
      <c r="Z131" s="55"/>
    </row>
    <row r="132" spans="1:26" ht="13.5" customHeight="1">
      <c r="A132" s="546" t="s">
        <v>1331</v>
      </c>
      <c r="B132" s="136" t="s">
        <v>45</v>
      </c>
      <c r="C132" s="56" t="s">
        <v>46</v>
      </c>
      <c r="D132" s="136"/>
      <c r="E132" s="275"/>
      <c r="F132" s="136"/>
      <c r="G132" s="49"/>
      <c r="H132" s="49"/>
      <c r="I132" s="49"/>
      <c r="J132" s="279"/>
      <c r="K132" s="279"/>
      <c r="L132" s="49"/>
      <c r="M132" s="49"/>
      <c r="N132" s="136"/>
      <c r="O132" s="294"/>
      <c r="P132" s="136"/>
      <c r="Q132" s="49"/>
      <c r="R132" s="49"/>
      <c r="S132" s="49"/>
      <c r="T132" s="49"/>
      <c r="U132" s="49"/>
      <c r="V132" s="136"/>
      <c r="W132" s="246"/>
      <c r="X132" s="55"/>
      <c r="Y132" s="55"/>
      <c r="Z132" s="55"/>
    </row>
    <row r="133" spans="1:26" ht="13.5" customHeight="1">
      <c r="A133" s="548" t="s">
        <v>47</v>
      </c>
      <c r="C133" s="212"/>
      <c r="D133" s="136" t="s">
        <v>1084</v>
      </c>
      <c r="E133" s="275"/>
      <c r="F133" s="136"/>
      <c r="G133" s="49"/>
      <c r="H133" s="49"/>
      <c r="I133" s="49"/>
      <c r="J133" s="279"/>
      <c r="K133" s="279"/>
      <c r="L133" s="49"/>
      <c r="M133" s="49"/>
      <c r="N133" s="136"/>
      <c r="O133" s="294"/>
      <c r="P133" s="136"/>
      <c r="Q133" s="49"/>
      <c r="R133" s="49"/>
      <c r="S133" s="49"/>
      <c r="T133" s="49"/>
      <c r="U133" s="49"/>
      <c r="V133" s="136"/>
      <c r="W133" s="246"/>
      <c r="X133" s="55"/>
      <c r="Y133" s="55"/>
      <c r="Z133" s="55"/>
    </row>
    <row r="134" spans="1:26" ht="13.5" customHeight="1">
      <c r="A134" s="548" t="s">
        <v>48</v>
      </c>
      <c r="B134" s="136"/>
      <c r="C134" s="56"/>
      <c r="D134" s="136" t="s">
        <v>978</v>
      </c>
      <c r="E134" s="275"/>
      <c r="F134" s="136"/>
      <c r="G134" s="49"/>
      <c r="H134" s="49"/>
      <c r="I134" s="49"/>
      <c r="J134" s="279"/>
      <c r="K134" s="279"/>
      <c r="L134" s="49"/>
      <c r="M134" s="49"/>
      <c r="N134" s="136"/>
      <c r="O134" s="275">
        <f>SUM(P134:W134)</f>
        <v>434</v>
      </c>
      <c r="P134" s="136"/>
      <c r="Q134" s="49"/>
      <c r="R134" s="49"/>
      <c r="S134" s="49">
        <v>434</v>
      </c>
      <c r="T134" s="49"/>
      <c r="U134" s="49"/>
      <c r="V134" s="136"/>
      <c r="W134" s="246"/>
      <c r="X134" s="55"/>
      <c r="Y134" s="55"/>
      <c r="Z134" s="55"/>
    </row>
    <row r="135" spans="1:26" ht="13.5" customHeight="1">
      <c r="A135" s="548" t="s">
        <v>49</v>
      </c>
      <c r="B135" s="136"/>
      <c r="C135" s="56"/>
      <c r="D135" s="136" t="s">
        <v>979</v>
      </c>
      <c r="E135" s="275"/>
      <c r="F135" s="136"/>
      <c r="G135" s="49"/>
      <c r="H135" s="49"/>
      <c r="I135" s="49"/>
      <c r="J135" s="279"/>
      <c r="K135" s="279"/>
      <c r="L135" s="49"/>
      <c r="M135" s="49"/>
      <c r="N135" s="136"/>
      <c r="O135" s="294">
        <f>SUM(P135:W135)</f>
        <v>434</v>
      </c>
      <c r="P135" s="136"/>
      <c r="Q135" s="49"/>
      <c r="R135" s="49"/>
      <c r="S135" s="49">
        <v>434</v>
      </c>
      <c r="T135" s="49"/>
      <c r="U135" s="49"/>
      <c r="V135" s="136"/>
      <c r="W135" s="246"/>
      <c r="X135" s="55"/>
      <c r="Y135" s="55"/>
      <c r="Z135" s="55"/>
    </row>
    <row r="136" spans="1:26" ht="13.5" customHeight="1">
      <c r="A136" s="548" t="s">
        <v>50</v>
      </c>
      <c r="B136" s="136"/>
      <c r="C136" s="56"/>
      <c r="D136" s="136" t="s">
        <v>1414</v>
      </c>
      <c r="E136" s="275"/>
      <c r="F136" s="136"/>
      <c r="G136" s="49"/>
      <c r="H136" s="49"/>
      <c r="I136" s="49"/>
      <c r="J136" s="279"/>
      <c r="K136" s="279"/>
      <c r="L136" s="49"/>
      <c r="M136" s="49"/>
      <c r="N136" s="136"/>
      <c r="O136" s="289">
        <f>ROUND(100*O135/O134,1)</f>
        <v>100</v>
      </c>
      <c r="P136" s="136"/>
      <c r="Q136" s="49"/>
      <c r="R136" s="49"/>
      <c r="S136" s="50">
        <f>ROUND(100*S135/S134,1)</f>
        <v>100</v>
      </c>
      <c r="T136" s="49"/>
      <c r="U136" s="49"/>
      <c r="V136" s="136"/>
      <c r="W136" s="246"/>
      <c r="X136" s="55"/>
      <c r="Y136" s="55"/>
      <c r="Z136" s="55"/>
    </row>
    <row r="137" spans="1:26" ht="13.5" customHeight="1">
      <c r="A137" s="552" t="s">
        <v>1333</v>
      </c>
      <c r="B137" s="136" t="s">
        <v>51</v>
      </c>
      <c r="C137" s="56" t="s">
        <v>52</v>
      </c>
      <c r="D137" s="287"/>
      <c r="E137" s="275"/>
      <c r="F137" s="136"/>
      <c r="G137" s="49"/>
      <c r="H137" s="49"/>
      <c r="I137" s="49"/>
      <c r="J137" s="279"/>
      <c r="K137" s="279"/>
      <c r="L137" s="49"/>
      <c r="M137" s="49"/>
      <c r="N137" s="136"/>
      <c r="O137" s="275"/>
      <c r="P137" s="136"/>
      <c r="Q137" s="49"/>
      <c r="R137" s="49"/>
      <c r="S137" s="49"/>
      <c r="T137" s="49"/>
      <c r="U137" s="49"/>
      <c r="V137" s="136"/>
      <c r="W137" s="246"/>
      <c r="X137" s="55"/>
      <c r="Y137" s="55"/>
      <c r="Z137" s="55"/>
    </row>
    <row r="138" spans="1:26" ht="13.5" customHeight="1">
      <c r="A138" s="552" t="s">
        <v>53</v>
      </c>
      <c r="C138" s="212"/>
      <c r="D138" s="136" t="s">
        <v>1084</v>
      </c>
      <c r="E138" s="275">
        <f>SUM(F138:M138)</f>
        <v>0</v>
      </c>
      <c r="F138" s="136"/>
      <c r="G138" s="49"/>
      <c r="H138" s="49"/>
      <c r="I138" s="49"/>
      <c r="J138" s="279"/>
      <c r="K138" s="279"/>
      <c r="L138" s="49"/>
      <c r="M138" s="49"/>
      <c r="N138" s="136"/>
      <c r="O138" s="275">
        <f>SUM(P138:W138)</f>
        <v>4712</v>
      </c>
      <c r="P138" s="136"/>
      <c r="Q138" s="49"/>
      <c r="R138" s="49"/>
      <c r="S138" s="49">
        <v>4712</v>
      </c>
      <c r="T138" s="49"/>
      <c r="U138" s="49"/>
      <c r="V138" s="136"/>
      <c r="W138" s="246"/>
      <c r="X138" s="55"/>
      <c r="Y138" s="55"/>
      <c r="Z138" s="55"/>
    </row>
    <row r="139" spans="1:26" ht="13.5" customHeight="1">
      <c r="A139" s="552" t="s">
        <v>54</v>
      </c>
      <c r="B139" s="136"/>
      <c r="C139" s="56"/>
      <c r="D139" s="136" t="s">
        <v>978</v>
      </c>
      <c r="E139" s="275"/>
      <c r="F139" s="136"/>
      <c r="G139" s="49"/>
      <c r="H139" s="49"/>
      <c r="I139" s="49"/>
      <c r="J139" s="279"/>
      <c r="K139" s="279"/>
      <c r="L139" s="49"/>
      <c r="M139" s="49"/>
      <c r="N139" s="136"/>
      <c r="O139" s="275">
        <f>SUM(P139:W139)</f>
        <v>13339</v>
      </c>
      <c r="P139" s="136"/>
      <c r="Q139" s="49"/>
      <c r="R139" s="49"/>
      <c r="S139" s="49">
        <v>13339</v>
      </c>
      <c r="T139" s="49"/>
      <c r="U139" s="49"/>
      <c r="V139" s="136"/>
      <c r="W139" s="246"/>
      <c r="X139" s="55"/>
      <c r="Y139" s="55"/>
      <c r="Z139" s="55"/>
    </row>
    <row r="140" spans="1:26" ht="13.5" customHeight="1">
      <c r="A140" s="552" t="s">
        <v>55</v>
      </c>
      <c r="B140" s="136"/>
      <c r="C140" s="56"/>
      <c r="D140" s="136" t="s">
        <v>979</v>
      </c>
      <c r="E140" s="275">
        <f>SUM(F140:N140)</f>
        <v>0</v>
      </c>
      <c r="F140" s="136"/>
      <c r="G140" s="49"/>
      <c r="H140" s="49"/>
      <c r="I140" s="49"/>
      <c r="J140" s="279"/>
      <c r="K140" s="279"/>
      <c r="L140" s="49"/>
      <c r="M140" s="49"/>
      <c r="N140" s="136"/>
      <c r="O140" s="294">
        <f>SUM(P140:W140)</f>
        <v>13339</v>
      </c>
      <c r="P140" s="136"/>
      <c r="Q140" s="49">
        <v>690</v>
      </c>
      <c r="R140" s="49"/>
      <c r="S140" s="49">
        <v>12649</v>
      </c>
      <c r="T140" s="49"/>
      <c r="U140" s="49"/>
      <c r="V140" s="136"/>
      <c r="W140" s="246"/>
      <c r="X140" s="55"/>
      <c r="Y140" s="55"/>
      <c r="Z140" s="55"/>
    </row>
    <row r="141" spans="1:26" ht="13.5" customHeight="1">
      <c r="A141" s="553" t="s">
        <v>56</v>
      </c>
      <c r="B141" s="277"/>
      <c r="C141" s="544"/>
      <c r="D141" s="278" t="s">
        <v>1414</v>
      </c>
      <c r="E141" s="282"/>
      <c r="F141" s="277"/>
      <c r="G141" s="439"/>
      <c r="H141" s="439"/>
      <c r="I141" s="439"/>
      <c r="J141" s="284"/>
      <c r="K141" s="284"/>
      <c r="L141" s="439"/>
      <c r="M141" s="439"/>
      <c r="N141" s="277"/>
      <c r="O141" s="531">
        <f>ROUND(100*O140/O139,1)</f>
        <v>100</v>
      </c>
      <c r="P141" s="277">
        <f aca="true" t="shared" si="15" ref="P141:V141">SUM(P139:P140)</f>
        <v>0</v>
      </c>
      <c r="Q141" s="439"/>
      <c r="R141" s="439">
        <f t="shared" si="15"/>
        <v>0</v>
      </c>
      <c r="S141" s="534">
        <f>ROUND(100*S140/S139,1)</f>
        <v>94.8</v>
      </c>
      <c r="T141" s="439"/>
      <c r="U141" s="439">
        <f t="shared" si="15"/>
        <v>0</v>
      </c>
      <c r="V141" s="277">
        <f t="shared" si="15"/>
        <v>0</v>
      </c>
      <c r="W141" s="545"/>
      <c r="X141" s="55"/>
      <c r="Y141" s="55"/>
      <c r="Z141" s="55"/>
    </row>
    <row r="142" spans="1:26" ht="13.5" customHeight="1">
      <c r="A142" s="103"/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55"/>
      <c r="X142" s="55"/>
      <c r="Y142" s="55"/>
      <c r="Z142" s="55"/>
    </row>
    <row r="143" spans="1:26" ht="13.5" customHeight="1">
      <c r="A143" s="103"/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55"/>
      <c r="X143" s="55"/>
      <c r="Y143" s="55"/>
      <c r="Z143" s="55"/>
    </row>
    <row r="144" spans="1:26" ht="13.5" customHeight="1">
      <c r="A144" s="103"/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55"/>
      <c r="X144" s="55"/>
      <c r="Y144" s="55"/>
      <c r="Z144" s="55"/>
    </row>
    <row r="145" spans="1:26" ht="13.5" customHeight="1">
      <c r="A145" s="103"/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X145" s="55"/>
      <c r="Y145" s="55"/>
      <c r="Z145" s="55"/>
    </row>
    <row r="146" spans="1:26" ht="13.5" customHeight="1">
      <c r="A146" s="103"/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55"/>
      <c r="X146" s="55"/>
      <c r="Y146" s="55"/>
      <c r="Z146" s="55"/>
    </row>
    <row r="147" spans="1:26" ht="13.5" customHeight="1">
      <c r="A147" s="103"/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X147" s="55"/>
      <c r="Y147" s="55"/>
      <c r="Z147" s="55"/>
    </row>
    <row r="148" spans="23:26" ht="13.5" customHeight="1">
      <c r="W148" s="559" t="s">
        <v>57</v>
      </c>
      <c r="X148" s="55"/>
      <c r="Y148" s="55"/>
      <c r="Z148" s="55"/>
    </row>
    <row r="149" spans="24:26" ht="13.5" customHeight="1">
      <c r="X149" s="55"/>
      <c r="Y149" s="55"/>
      <c r="Z149" s="55"/>
    </row>
    <row r="150" spans="24:26" ht="13.5" customHeight="1">
      <c r="X150" s="55"/>
      <c r="Y150" s="55"/>
      <c r="Z150" s="55"/>
    </row>
    <row r="151" spans="23:26" ht="13.5" customHeight="1">
      <c r="W151" s="559" t="s">
        <v>1305</v>
      </c>
      <c r="X151" s="55"/>
      <c r="Y151" s="55"/>
      <c r="Z151" s="55"/>
    </row>
    <row r="152" spans="1:26" ht="13.5" customHeight="1">
      <c r="A152" s="337"/>
      <c r="B152" s="269" t="s">
        <v>960</v>
      </c>
      <c r="C152" s="1071" t="s">
        <v>961</v>
      </c>
      <c r="D152" s="1071"/>
      <c r="E152" s="269" t="s">
        <v>962</v>
      </c>
      <c r="F152" s="269" t="s">
        <v>963</v>
      </c>
      <c r="G152" s="269" t="s">
        <v>964</v>
      </c>
      <c r="H152" s="269" t="s">
        <v>965</v>
      </c>
      <c r="I152" s="269" t="s">
        <v>966</v>
      </c>
      <c r="J152" s="269" t="s">
        <v>967</v>
      </c>
      <c r="K152" s="269" t="s">
        <v>968</v>
      </c>
      <c r="L152" s="269" t="s">
        <v>969</v>
      </c>
      <c r="M152" s="269" t="s">
        <v>970</v>
      </c>
      <c r="N152" s="269" t="s">
        <v>971</v>
      </c>
      <c r="O152" s="269" t="s">
        <v>972</v>
      </c>
      <c r="P152" s="269" t="s">
        <v>973</v>
      </c>
      <c r="Q152" s="269" t="s">
        <v>1480</v>
      </c>
      <c r="R152" s="269" t="s">
        <v>1481</v>
      </c>
      <c r="S152" s="269" t="s">
        <v>1482</v>
      </c>
      <c r="T152" s="269" t="s">
        <v>1483</v>
      </c>
      <c r="U152" s="269" t="s">
        <v>1484</v>
      </c>
      <c r="V152" s="10" t="s">
        <v>1486</v>
      </c>
      <c r="W152" s="269" t="s">
        <v>1487</v>
      </c>
      <c r="X152" s="55"/>
      <c r="Y152" s="55"/>
      <c r="Z152" s="55"/>
    </row>
    <row r="153" spans="1:26" ht="13.5" customHeight="1">
      <c r="A153" s="560" t="s">
        <v>1159</v>
      </c>
      <c r="B153" s="540" t="s">
        <v>1631</v>
      </c>
      <c r="C153" s="259" t="s">
        <v>1083</v>
      </c>
      <c r="D153" s="259"/>
      <c r="E153" s="271" t="s">
        <v>1405</v>
      </c>
      <c r="F153" s="259" t="s">
        <v>1493</v>
      </c>
      <c r="G153" s="259"/>
      <c r="H153" s="259"/>
      <c r="I153" s="259"/>
      <c r="J153" s="259"/>
      <c r="K153" s="259"/>
      <c r="L153" s="259"/>
      <c r="M153" s="259"/>
      <c r="N153" s="259"/>
      <c r="O153" s="271" t="s">
        <v>1405</v>
      </c>
      <c r="P153" s="259" t="s">
        <v>1494</v>
      </c>
      <c r="Q153" s="259"/>
      <c r="R153" s="259"/>
      <c r="S153" s="259"/>
      <c r="T153" s="259"/>
      <c r="U153" s="259"/>
      <c r="V153" s="259"/>
      <c r="W153" s="541"/>
      <c r="X153" s="55"/>
      <c r="Y153" s="55"/>
      <c r="Z153" s="55"/>
    </row>
    <row r="154" spans="1:26" ht="13.5" customHeight="1">
      <c r="A154" s="546"/>
      <c r="B154" s="279" t="s">
        <v>1632</v>
      </c>
      <c r="C154" s="136"/>
      <c r="D154" s="136"/>
      <c r="E154" s="275" t="s">
        <v>1407</v>
      </c>
      <c r="F154" s="277"/>
      <c r="G154" s="277"/>
      <c r="H154" s="277"/>
      <c r="I154" s="277"/>
      <c r="J154" s="277"/>
      <c r="K154" s="277"/>
      <c r="L154" s="277"/>
      <c r="M154" s="277"/>
      <c r="N154" s="136"/>
      <c r="O154" s="275" t="s">
        <v>1409</v>
      </c>
      <c r="P154" s="277"/>
      <c r="Q154" s="277"/>
      <c r="R154" s="277"/>
      <c r="S154" s="277"/>
      <c r="T154" s="277"/>
      <c r="U154" s="277"/>
      <c r="V154" s="136"/>
      <c r="W154" s="558"/>
      <c r="X154" s="55"/>
      <c r="Y154" s="55"/>
      <c r="Z154" s="55"/>
    </row>
    <row r="155" spans="1:26" ht="13.5" customHeight="1">
      <c r="A155" s="546"/>
      <c r="B155" s="279"/>
      <c r="C155" s="136"/>
      <c r="D155" s="136"/>
      <c r="E155" s="275" t="s">
        <v>1404</v>
      </c>
      <c r="F155" s="136" t="s">
        <v>1495</v>
      </c>
      <c r="G155" s="542" t="s">
        <v>1496</v>
      </c>
      <c r="H155" s="542" t="s">
        <v>1496</v>
      </c>
      <c r="I155" s="542" t="s">
        <v>1498</v>
      </c>
      <c r="J155" s="542" t="s">
        <v>1499</v>
      </c>
      <c r="K155" s="542" t="s">
        <v>1500</v>
      </c>
      <c r="L155" s="542" t="s">
        <v>1501</v>
      </c>
      <c r="M155" s="542" t="s">
        <v>1500</v>
      </c>
      <c r="N155" s="286" t="s">
        <v>1504</v>
      </c>
      <c r="O155" s="275" t="s">
        <v>1404</v>
      </c>
      <c r="P155" s="136" t="s">
        <v>1505</v>
      </c>
      <c r="Q155" s="542" t="s">
        <v>1506</v>
      </c>
      <c r="R155" s="542" t="s">
        <v>1507</v>
      </c>
      <c r="S155" s="542" t="s">
        <v>1508</v>
      </c>
      <c r="T155" s="542" t="s">
        <v>1500</v>
      </c>
      <c r="U155" s="542" t="s">
        <v>1633</v>
      </c>
      <c r="V155" s="237" t="s">
        <v>1511</v>
      </c>
      <c r="W155" s="21" t="s">
        <v>1634</v>
      </c>
      <c r="X155" s="55"/>
      <c r="Y155" s="55"/>
      <c r="Z155" s="55"/>
    </row>
    <row r="156" spans="1:26" ht="13.5" customHeight="1">
      <c r="A156" s="546"/>
      <c r="B156" s="279"/>
      <c r="C156" s="136"/>
      <c r="D156" s="136"/>
      <c r="E156" s="275"/>
      <c r="F156" s="136" t="s">
        <v>1512</v>
      </c>
      <c r="G156" s="49" t="s">
        <v>1513</v>
      </c>
      <c r="H156" s="49" t="s">
        <v>1513</v>
      </c>
      <c r="I156" s="49" t="s">
        <v>1515</v>
      </c>
      <c r="J156" s="49" t="s">
        <v>1516</v>
      </c>
      <c r="K156" s="49" t="s">
        <v>1517</v>
      </c>
      <c r="L156" s="49" t="s">
        <v>1518</v>
      </c>
      <c r="M156" s="49" t="s">
        <v>1517</v>
      </c>
      <c r="N156" s="280" t="s">
        <v>1521</v>
      </c>
      <c r="O156" s="275"/>
      <c r="P156" s="136" t="s">
        <v>1522</v>
      </c>
      <c r="Q156" s="49" t="s">
        <v>1523</v>
      </c>
      <c r="R156" s="49" t="s">
        <v>1409</v>
      </c>
      <c r="S156" s="49" t="s">
        <v>1524</v>
      </c>
      <c r="T156" s="49" t="s">
        <v>1517</v>
      </c>
      <c r="U156" s="49" t="s">
        <v>1635</v>
      </c>
      <c r="V156" s="56" t="s">
        <v>1527</v>
      </c>
      <c r="W156" s="34" t="s">
        <v>1529</v>
      </c>
      <c r="X156" s="55"/>
      <c r="Y156" s="55"/>
      <c r="Z156" s="55"/>
    </row>
    <row r="157" spans="1:26" ht="13.5" customHeight="1">
      <c r="A157" s="546"/>
      <c r="B157" s="279"/>
      <c r="C157" s="136"/>
      <c r="D157" s="136"/>
      <c r="E157" s="275"/>
      <c r="F157" s="136" t="s">
        <v>1530</v>
      </c>
      <c r="G157" s="49" t="s">
        <v>1531</v>
      </c>
      <c r="H157" s="49" t="s">
        <v>1533</v>
      </c>
      <c r="I157" s="49" t="s">
        <v>1534</v>
      </c>
      <c r="J157" s="49" t="s">
        <v>1534</v>
      </c>
      <c r="K157" s="49" t="s">
        <v>1535</v>
      </c>
      <c r="L157" s="49" t="s">
        <v>1536</v>
      </c>
      <c r="M157" s="49" t="s">
        <v>1535</v>
      </c>
      <c r="N157" s="280" t="s">
        <v>1538</v>
      </c>
      <c r="O157" s="275"/>
      <c r="P157" s="136" t="s">
        <v>1539</v>
      </c>
      <c r="Q157" s="49" t="s">
        <v>1540</v>
      </c>
      <c r="R157" s="49"/>
      <c r="S157" s="49" t="s">
        <v>1541</v>
      </c>
      <c r="T157" s="49" t="s">
        <v>1535</v>
      </c>
      <c r="U157" s="49"/>
      <c r="V157" s="56"/>
      <c r="W157" s="34" t="s">
        <v>1543</v>
      </c>
      <c r="X157" s="55"/>
      <c r="Y157" s="55"/>
      <c r="Z157" s="55"/>
    </row>
    <row r="158" spans="1:26" ht="13.5" customHeight="1">
      <c r="A158" s="546"/>
      <c r="B158" s="279"/>
      <c r="C158" s="136"/>
      <c r="D158" s="136"/>
      <c r="E158" s="275"/>
      <c r="F158" s="136" t="s">
        <v>1407</v>
      </c>
      <c r="G158" s="49" t="s">
        <v>1544</v>
      </c>
      <c r="H158" s="49" t="s">
        <v>1546</v>
      </c>
      <c r="I158" s="49" t="s">
        <v>1547</v>
      </c>
      <c r="J158" s="49" t="s">
        <v>1547</v>
      </c>
      <c r="K158" s="49" t="s">
        <v>1548</v>
      </c>
      <c r="L158" s="49"/>
      <c r="M158" s="49" t="s">
        <v>1549</v>
      </c>
      <c r="N158" s="280" t="s">
        <v>1551</v>
      </c>
      <c r="O158" s="275"/>
      <c r="P158" s="136"/>
      <c r="Q158" s="49" t="s">
        <v>1552</v>
      </c>
      <c r="R158" s="49"/>
      <c r="S158" s="49" t="s">
        <v>1553</v>
      </c>
      <c r="T158" s="49" t="s">
        <v>1554</v>
      </c>
      <c r="U158" s="49"/>
      <c r="V158" s="56"/>
      <c r="W158" s="34" t="s">
        <v>1557</v>
      </c>
      <c r="X158" s="55"/>
      <c r="Y158" s="55"/>
      <c r="Z158" s="55"/>
    </row>
    <row r="159" spans="1:26" ht="13.5" customHeight="1">
      <c r="A159" s="546"/>
      <c r="B159" s="279"/>
      <c r="C159" s="136"/>
      <c r="D159" s="136"/>
      <c r="E159" s="275"/>
      <c r="F159" s="136"/>
      <c r="G159" s="49" t="s">
        <v>1558</v>
      </c>
      <c r="H159" s="49" t="s">
        <v>1560</v>
      </c>
      <c r="I159" s="49" t="s">
        <v>1561</v>
      </c>
      <c r="J159" s="49" t="s">
        <v>1561</v>
      </c>
      <c r="K159" s="49"/>
      <c r="L159" s="49"/>
      <c r="M159" s="49" t="s">
        <v>1562</v>
      </c>
      <c r="N159" s="136"/>
      <c r="O159" s="275"/>
      <c r="P159" s="136"/>
      <c r="Q159" s="49"/>
      <c r="R159" s="49"/>
      <c r="S159" s="49" t="s">
        <v>1563</v>
      </c>
      <c r="T159" s="49"/>
      <c r="U159" s="49"/>
      <c r="V159" s="56"/>
      <c r="W159" s="34" t="s">
        <v>1565</v>
      </c>
      <c r="X159" s="55"/>
      <c r="Y159" s="55"/>
      <c r="Z159" s="55"/>
    </row>
    <row r="160" spans="1:26" ht="13.5" customHeight="1">
      <c r="A160" s="561"/>
      <c r="B160" s="284"/>
      <c r="C160" s="277"/>
      <c r="D160" s="277"/>
      <c r="E160" s="282"/>
      <c r="F160" s="277"/>
      <c r="G160" s="439" t="s">
        <v>1566</v>
      </c>
      <c r="H160" s="439" t="s">
        <v>1567</v>
      </c>
      <c r="I160" s="439"/>
      <c r="J160" s="439"/>
      <c r="K160" s="439"/>
      <c r="L160" s="439"/>
      <c r="M160" s="439" t="s">
        <v>1636</v>
      </c>
      <c r="N160" s="277"/>
      <c r="O160" s="282"/>
      <c r="P160" s="277"/>
      <c r="Q160" s="439"/>
      <c r="R160" s="439"/>
      <c r="S160" s="439"/>
      <c r="T160" s="439"/>
      <c r="U160" s="439"/>
      <c r="V160" s="544"/>
      <c r="W160" s="545"/>
      <c r="X160" s="55"/>
      <c r="Y160" s="55"/>
      <c r="Z160" s="55"/>
    </row>
    <row r="161" spans="1:26" ht="13.5" customHeight="1">
      <c r="A161" s="546" t="s">
        <v>1335</v>
      </c>
      <c r="B161" s="136" t="s">
        <v>58</v>
      </c>
      <c r="C161" s="237" t="s">
        <v>59</v>
      </c>
      <c r="D161" s="136"/>
      <c r="E161" s="275"/>
      <c r="F161" s="136"/>
      <c r="G161" s="49"/>
      <c r="H161" s="49"/>
      <c r="I161" s="49"/>
      <c r="J161" s="279"/>
      <c r="K161" s="279"/>
      <c r="L161" s="49"/>
      <c r="M161" s="49"/>
      <c r="N161" s="136"/>
      <c r="O161" s="275"/>
      <c r="P161" s="136"/>
      <c r="Q161" s="49"/>
      <c r="R161" s="49"/>
      <c r="S161" s="49"/>
      <c r="T161" s="49"/>
      <c r="U161" s="49"/>
      <c r="V161" s="136"/>
      <c r="W161" s="246"/>
      <c r="X161" s="55"/>
      <c r="Y161" s="55"/>
      <c r="Z161" s="55"/>
    </row>
    <row r="162" spans="1:26" ht="13.5" customHeight="1">
      <c r="A162" s="548" t="s">
        <v>60</v>
      </c>
      <c r="C162" s="212"/>
      <c r="D162" s="136" t="s">
        <v>1084</v>
      </c>
      <c r="E162" s="275"/>
      <c r="F162" s="136"/>
      <c r="G162" s="49"/>
      <c r="H162" s="49"/>
      <c r="I162" s="49"/>
      <c r="J162" s="279"/>
      <c r="K162" s="279"/>
      <c r="L162" s="49"/>
      <c r="M162" s="49"/>
      <c r="N162" s="136"/>
      <c r="O162" s="294"/>
      <c r="P162" s="136"/>
      <c r="Q162" s="49"/>
      <c r="R162" s="49"/>
      <c r="S162" s="49"/>
      <c r="T162" s="49"/>
      <c r="U162" s="49"/>
      <c r="V162" s="136"/>
      <c r="W162" s="246"/>
      <c r="X162" s="55"/>
      <c r="Y162" s="55"/>
      <c r="Z162" s="55"/>
    </row>
    <row r="163" spans="1:26" ht="13.5" customHeight="1">
      <c r="A163" s="548" t="s">
        <v>61</v>
      </c>
      <c r="B163" s="136"/>
      <c r="C163" s="56"/>
      <c r="D163" s="136" t="s">
        <v>978</v>
      </c>
      <c r="E163" s="275">
        <f>SUM(F163:N163)</f>
        <v>5510</v>
      </c>
      <c r="F163" s="136"/>
      <c r="G163" s="49"/>
      <c r="H163" s="49"/>
      <c r="I163" s="49"/>
      <c r="J163" s="279">
        <v>5510</v>
      </c>
      <c r="K163" s="279"/>
      <c r="L163" s="49"/>
      <c r="M163" s="49"/>
      <c r="N163" s="136"/>
      <c r="O163" s="275">
        <f>SUM(P163:W163)</f>
        <v>10057</v>
      </c>
      <c r="P163" s="136"/>
      <c r="Q163" s="49"/>
      <c r="R163" s="49"/>
      <c r="S163" s="49">
        <v>10057</v>
      </c>
      <c r="T163" s="49"/>
      <c r="U163" s="49"/>
      <c r="V163" s="136"/>
      <c r="W163" s="246"/>
      <c r="X163" s="55"/>
      <c r="Y163" s="55"/>
      <c r="Z163" s="55"/>
    </row>
    <row r="164" spans="1:26" ht="13.5" customHeight="1">
      <c r="A164" s="548" t="s">
        <v>62</v>
      </c>
      <c r="B164" s="136"/>
      <c r="C164" s="56"/>
      <c r="D164" s="136" t="s">
        <v>979</v>
      </c>
      <c r="E164" s="275">
        <f>SUM(F164:N164)</f>
        <v>10063</v>
      </c>
      <c r="F164" s="136"/>
      <c r="G164" s="49"/>
      <c r="H164" s="49"/>
      <c r="I164" s="49"/>
      <c r="J164" s="279">
        <v>10063</v>
      </c>
      <c r="K164" s="279"/>
      <c r="L164" s="49"/>
      <c r="M164" s="49"/>
      <c r="N164" s="136"/>
      <c r="O164" s="294">
        <f>SUM(P164:W164)</f>
        <v>10057</v>
      </c>
      <c r="P164" s="136"/>
      <c r="Q164" s="49"/>
      <c r="R164" s="49"/>
      <c r="S164" s="49">
        <v>10057</v>
      </c>
      <c r="T164" s="49"/>
      <c r="U164" s="49"/>
      <c r="V164" s="136"/>
      <c r="W164" s="246"/>
      <c r="X164" s="55"/>
      <c r="Y164" s="55"/>
      <c r="Z164" s="55"/>
    </row>
    <row r="165" spans="1:26" ht="13.5" customHeight="1">
      <c r="A165" s="548" t="s">
        <v>63</v>
      </c>
      <c r="B165" s="136"/>
      <c r="C165" s="56"/>
      <c r="D165" s="136" t="s">
        <v>1414</v>
      </c>
      <c r="E165" s="289">
        <f>ROUND(100*E164/E163,1)</f>
        <v>182.6</v>
      </c>
      <c r="F165" s="136"/>
      <c r="G165" s="49"/>
      <c r="H165" s="49"/>
      <c r="I165" s="49"/>
      <c r="J165" s="392">
        <f>ROUND(100*J164/J163,1)</f>
        <v>182.6</v>
      </c>
      <c r="K165" s="279"/>
      <c r="L165" s="49"/>
      <c r="M165" s="49"/>
      <c r="N165" s="136"/>
      <c r="O165" s="289">
        <f>ROUND(100*O164/O163,1)</f>
        <v>100</v>
      </c>
      <c r="P165" s="136"/>
      <c r="Q165" s="49"/>
      <c r="R165" s="49"/>
      <c r="S165" s="50">
        <f>ROUND(100*S164/S163,1)</f>
        <v>100</v>
      </c>
      <c r="T165" s="49"/>
      <c r="U165" s="49"/>
      <c r="V165" s="136"/>
      <c r="W165" s="246"/>
      <c r="X165" s="55"/>
      <c r="Y165" s="55"/>
      <c r="Z165" s="55"/>
    </row>
    <row r="166" spans="1:26" ht="13.5" customHeight="1">
      <c r="A166" s="546" t="s">
        <v>1337</v>
      </c>
      <c r="B166" s="136" t="s">
        <v>64</v>
      </c>
      <c r="C166" s="56" t="s">
        <v>1131</v>
      </c>
      <c r="D166" s="136"/>
      <c r="E166" s="294"/>
      <c r="F166" s="136"/>
      <c r="G166" s="49"/>
      <c r="H166" s="49"/>
      <c r="I166" s="49"/>
      <c r="J166" s="279"/>
      <c r="K166" s="279"/>
      <c r="L166" s="49"/>
      <c r="M166" s="49"/>
      <c r="N166" s="136"/>
      <c r="O166" s="294"/>
      <c r="P166" s="136"/>
      <c r="Q166" s="49"/>
      <c r="R166" s="49"/>
      <c r="S166" s="49"/>
      <c r="T166" s="49"/>
      <c r="U166" s="49"/>
      <c r="V166" s="136"/>
      <c r="W166" s="246"/>
      <c r="X166" s="55"/>
      <c r="Y166" s="55"/>
      <c r="Z166" s="55"/>
    </row>
    <row r="167" spans="1:26" ht="13.5" customHeight="1">
      <c r="A167" s="548" t="s">
        <v>65</v>
      </c>
      <c r="C167" s="212"/>
      <c r="D167" s="136" t="s">
        <v>1084</v>
      </c>
      <c r="E167" s="294"/>
      <c r="F167" s="136"/>
      <c r="G167" s="49"/>
      <c r="H167" s="49"/>
      <c r="I167" s="49"/>
      <c r="J167" s="279"/>
      <c r="K167" s="279"/>
      <c r="L167" s="49"/>
      <c r="M167" s="49"/>
      <c r="N167" s="136"/>
      <c r="O167" s="294"/>
      <c r="P167" s="136"/>
      <c r="Q167" s="49"/>
      <c r="R167" s="49"/>
      <c r="S167" s="49"/>
      <c r="T167" s="49"/>
      <c r="U167" s="49"/>
      <c r="V167" s="136"/>
      <c r="W167" s="246"/>
      <c r="X167" s="55"/>
      <c r="Y167" s="55"/>
      <c r="Z167" s="55"/>
    </row>
    <row r="168" spans="1:26" ht="13.5" customHeight="1">
      <c r="A168" s="548" t="s">
        <v>66</v>
      </c>
      <c r="B168" s="136"/>
      <c r="C168" s="56"/>
      <c r="D168" s="136" t="s">
        <v>978</v>
      </c>
      <c r="E168" s="294"/>
      <c r="F168" s="136"/>
      <c r="G168" s="49"/>
      <c r="H168" s="49"/>
      <c r="I168" s="49"/>
      <c r="J168" s="279"/>
      <c r="K168" s="279"/>
      <c r="L168" s="49"/>
      <c r="M168" s="49"/>
      <c r="N168" s="136"/>
      <c r="O168" s="275">
        <f>SUM(P168:W168)</f>
        <v>1100</v>
      </c>
      <c r="P168" s="136"/>
      <c r="Q168" s="49"/>
      <c r="R168" s="49"/>
      <c r="S168" s="49">
        <v>1100</v>
      </c>
      <c r="T168" s="49"/>
      <c r="U168" s="49"/>
      <c r="V168" s="136"/>
      <c r="W168" s="246"/>
      <c r="X168" s="55"/>
      <c r="Y168" s="55"/>
      <c r="Z168" s="55"/>
    </row>
    <row r="169" spans="1:26" ht="13.5" customHeight="1">
      <c r="A169" s="548" t="s">
        <v>67</v>
      </c>
      <c r="B169" s="136"/>
      <c r="C169" s="56"/>
      <c r="D169" s="136" t="s">
        <v>979</v>
      </c>
      <c r="E169" s="294"/>
      <c r="F169" s="136"/>
      <c r="G169" s="49"/>
      <c r="H169" s="49"/>
      <c r="I169" s="49"/>
      <c r="J169" s="279"/>
      <c r="K169" s="279"/>
      <c r="L169" s="49"/>
      <c r="M169" s="49"/>
      <c r="N169" s="136"/>
      <c r="O169" s="294">
        <f>SUM(P169:W169)</f>
        <v>1100</v>
      </c>
      <c r="P169" s="136"/>
      <c r="Q169" s="49"/>
      <c r="R169" s="49"/>
      <c r="S169" s="49">
        <v>1100</v>
      </c>
      <c r="T169" s="49"/>
      <c r="U169" s="49"/>
      <c r="V169" s="136"/>
      <c r="W169" s="246"/>
      <c r="X169" s="55"/>
      <c r="Y169" s="55"/>
      <c r="Z169" s="55"/>
    </row>
    <row r="170" spans="1:26" ht="13.5" customHeight="1">
      <c r="A170" s="548" t="s">
        <v>68</v>
      </c>
      <c r="B170" s="136"/>
      <c r="C170" s="56"/>
      <c r="D170" s="136" t="s">
        <v>1414</v>
      </c>
      <c r="E170" s="294"/>
      <c r="F170" s="136"/>
      <c r="G170" s="49"/>
      <c r="H170" s="49"/>
      <c r="I170" s="49"/>
      <c r="J170" s="279"/>
      <c r="K170" s="279"/>
      <c r="L170" s="49"/>
      <c r="M170" s="49"/>
      <c r="N170" s="136"/>
      <c r="O170" s="289">
        <f>ROUND(100*O169/O168,1)</f>
        <v>100</v>
      </c>
      <c r="P170" s="136"/>
      <c r="Q170" s="49"/>
      <c r="R170" s="49"/>
      <c r="S170" s="50">
        <f>ROUND(100*S169/S168,1)</f>
        <v>100</v>
      </c>
      <c r="T170" s="49"/>
      <c r="U170" s="49"/>
      <c r="V170" s="136"/>
      <c r="W170" s="246"/>
      <c r="X170" s="55"/>
      <c r="Y170" s="55"/>
      <c r="Z170" s="55"/>
    </row>
    <row r="171" spans="1:26" ht="13.5" customHeight="1">
      <c r="A171" s="546" t="s">
        <v>1339</v>
      </c>
      <c r="B171" s="136" t="s">
        <v>69</v>
      </c>
      <c r="C171" s="56" t="s">
        <v>1320</v>
      </c>
      <c r="D171" s="287"/>
      <c r="E171" s="275"/>
      <c r="F171" s="136"/>
      <c r="G171" s="49"/>
      <c r="H171" s="49"/>
      <c r="I171" s="49"/>
      <c r="J171" s="279"/>
      <c r="K171" s="279"/>
      <c r="L171" s="49"/>
      <c r="M171" s="49"/>
      <c r="N171" s="136"/>
      <c r="O171" s="275"/>
      <c r="P171" s="136"/>
      <c r="Q171" s="49"/>
      <c r="R171" s="49"/>
      <c r="S171" s="49"/>
      <c r="T171" s="49"/>
      <c r="U171" s="49"/>
      <c r="V171" s="136"/>
      <c r="W171" s="246"/>
      <c r="X171" s="55"/>
      <c r="Y171" s="55"/>
      <c r="Z171" s="55"/>
    </row>
    <row r="172" spans="1:26" ht="13.5" customHeight="1">
      <c r="A172" s="548" t="s">
        <v>70</v>
      </c>
      <c r="C172" s="212"/>
      <c r="D172" s="136" t="s">
        <v>1084</v>
      </c>
      <c r="E172" s="275">
        <f>SUM(F172:M172)</f>
        <v>0</v>
      </c>
      <c r="F172" s="136"/>
      <c r="G172" s="49"/>
      <c r="H172" s="49"/>
      <c r="I172" s="49"/>
      <c r="J172" s="279"/>
      <c r="K172" s="279"/>
      <c r="L172" s="49"/>
      <c r="M172" s="49"/>
      <c r="N172" s="136"/>
      <c r="O172" s="275">
        <f>SUM(P172:W172)</f>
        <v>6800</v>
      </c>
      <c r="P172" s="136"/>
      <c r="Q172" s="49"/>
      <c r="R172" s="49"/>
      <c r="S172" s="49">
        <v>6800</v>
      </c>
      <c r="T172" s="49"/>
      <c r="U172" s="49"/>
      <c r="V172" s="136"/>
      <c r="W172" s="246"/>
      <c r="X172" s="55"/>
      <c r="Y172" s="55"/>
      <c r="Z172" s="55"/>
    </row>
    <row r="173" spans="1:26" ht="13.5" customHeight="1">
      <c r="A173" s="548" t="s">
        <v>71</v>
      </c>
      <c r="B173" s="136"/>
      <c r="C173" s="56"/>
      <c r="D173" s="136" t="s">
        <v>978</v>
      </c>
      <c r="E173" s="275"/>
      <c r="F173" s="136"/>
      <c r="G173" s="49"/>
      <c r="H173" s="49"/>
      <c r="I173" s="49"/>
      <c r="J173" s="279"/>
      <c r="K173" s="279"/>
      <c r="L173" s="49"/>
      <c r="M173" s="49"/>
      <c r="N173" s="136"/>
      <c r="O173" s="275">
        <f>SUM(P173:W173)</f>
        <v>5378</v>
      </c>
      <c r="P173" s="136"/>
      <c r="Q173" s="49"/>
      <c r="R173" s="49"/>
      <c r="S173" s="49">
        <v>5378</v>
      </c>
      <c r="T173" s="49"/>
      <c r="U173" s="49"/>
      <c r="V173" s="136"/>
      <c r="W173" s="246"/>
      <c r="X173" s="55"/>
      <c r="Y173" s="55"/>
      <c r="Z173" s="55"/>
    </row>
    <row r="174" spans="1:26" ht="13.5" customHeight="1">
      <c r="A174" s="548" t="s">
        <v>72</v>
      </c>
      <c r="B174" s="136"/>
      <c r="C174" s="56"/>
      <c r="D174" s="136" t="s">
        <v>979</v>
      </c>
      <c r="E174" s="275">
        <f>SUM(F174:N174)</f>
        <v>0</v>
      </c>
      <c r="F174" s="136"/>
      <c r="G174" s="49"/>
      <c r="H174" s="49"/>
      <c r="I174" s="49"/>
      <c r="J174" s="279"/>
      <c r="K174" s="279"/>
      <c r="L174" s="49"/>
      <c r="M174" s="49"/>
      <c r="N174" s="136"/>
      <c r="O174" s="294">
        <f>SUM(P174:V174)</f>
        <v>5378</v>
      </c>
      <c r="P174" s="136"/>
      <c r="Q174" s="49"/>
      <c r="R174" s="49"/>
      <c r="S174" s="49">
        <v>5378</v>
      </c>
      <c r="T174" s="49"/>
      <c r="U174" s="49"/>
      <c r="V174" s="136"/>
      <c r="W174" s="246"/>
      <c r="X174" s="55"/>
      <c r="Y174" s="55"/>
      <c r="Z174" s="55"/>
    </row>
    <row r="175" spans="1:26" ht="13.5" customHeight="1">
      <c r="A175" s="548" t="s">
        <v>73</v>
      </c>
      <c r="B175" s="136"/>
      <c r="C175" s="56"/>
      <c r="D175" s="136" t="s">
        <v>1414</v>
      </c>
      <c r="E175" s="275"/>
      <c r="F175" s="136"/>
      <c r="G175" s="49"/>
      <c r="H175" s="49"/>
      <c r="I175" s="49"/>
      <c r="J175" s="279"/>
      <c r="K175" s="279"/>
      <c r="L175" s="49"/>
      <c r="M175" s="49"/>
      <c r="N175" s="136"/>
      <c r="O175" s="289">
        <f>ROUND(100*O174/O173,1)</f>
        <v>100</v>
      </c>
      <c r="P175" s="136">
        <f aca="true" t="shared" si="16" ref="P175:V175">SUM(P173:P174)</f>
        <v>0</v>
      </c>
      <c r="Q175" s="49">
        <f t="shared" si="16"/>
        <v>0</v>
      </c>
      <c r="R175" s="49">
        <f t="shared" si="16"/>
        <v>0</v>
      </c>
      <c r="S175" s="50">
        <f>ROUND(100*S174/S173,1)</f>
        <v>100</v>
      </c>
      <c r="T175" s="49"/>
      <c r="U175" s="49">
        <f t="shared" si="16"/>
        <v>0</v>
      </c>
      <c r="V175" s="136">
        <f t="shared" si="16"/>
        <v>0</v>
      </c>
      <c r="W175" s="246"/>
      <c r="X175" s="55"/>
      <c r="Y175" s="55"/>
      <c r="Z175" s="55"/>
    </row>
    <row r="176" spans="1:26" ht="13.5" customHeight="1">
      <c r="A176" s="546" t="s">
        <v>1340</v>
      </c>
      <c r="B176" s="136" t="s">
        <v>74</v>
      </c>
      <c r="C176" s="56" t="s">
        <v>1322</v>
      </c>
      <c r="D176" s="136"/>
      <c r="E176" s="275"/>
      <c r="F176" s="136"/>
      <c r="G176" s="49"/>
      <c r="H176" s="49"/>
      <c r="I176" s="49"/>
      <c r="J176" s="279"/>
      <c r="K176" s="279"/>
      <c r="L176" s="49"/>
      <c r="M176" s="49"/>
      <c r="N176" s="136"/>
      <c r="O176" s="275"/>
      <c r="P176" s="136"/>
      <c r="Q176" s="49"/>
      <c r="R176" s="49"/>
      <c r="S176" s="49"/>
      <c r="T176" s="49"/>
      <c r="U176" s="49"/>
      <c r="V176" s="136"/>
      <c r="W176" s="246"/>
      <c r="X176" s="55"/>
      <c r="Y176" s="55"/>
      <c r="Z176" s="55"/>
    </row>
    <row r="177" spans="1:26" ht="13.5" customHeight="1">
      <c r="A177" s="548" t="s">
        <v>75</v>
      </c>
      <c r="C177" s="212"/>
      <c r="D177" s="136" t="s">
        <v>1084</v>
      </c>
      <c r="E177" s="275">
        <f>SUM(F177:M177)</f>
        <v>0</v>
      </c>
      <c r="F177" s="136"/>
      <c r="G177" s="49"/>
      <c r="H177" s="49"/>
      <c r="I177" s="49"/>
      <c r="J177" s="279"/>
      <c r="K177" s="279"/>
      <c r="L177" s="49"/>
      <c r="M177" s="49"/>
      <c r="N177" s="136"/>
      <c r="O177" s="275">
        <f>SUM(P177:W177)</f>
        <v>2280</v>
      </c>
      <c r="P177" s="136"/>
      <c r="Q177" s="49"/>
      <c r="R177" s="49"/>
      <c r="S177" s="49">
        <v>2280</v>
      </c>
      <c r="T177" s="49"/>
      <c r="U177" s="49"/>
      <c r="V177" s="136"/>
      <c r="W177" s="246"/>
      <c r="X177" s="55"/>
      <c r="Y177" s="55"/>
      <c r="Z177" s="55"/>
    </row>
    <row r="178" spans="1:26" ht="13.5" customHeight="1">
      <c r="A178" s="548" t="s">
        <v>76</v>
      </c>
      <c r="B178" s="136"/>
      <c r="C178" s="56"/>
      <c r="D178" s="136" t="s">
        <v>978</v>
      </c>
      <c r="E178" s="275"/>
      <c r="F178" s="136"/>
      <c r="G178" s="49"/>
      <c r="H178" s="49"/>
      <c r="I178" s="49"/>
      <c r="J178" s="279"/>
      <c r="K178" s="279"/>
      <c r="L178" s="49"/>
      <c r="M178" s="49"/>
      <c r="N178" s="136"/>
      <c r="O178" s="275">
        <f>SUM(P178:W178)</f>
        <v>980</v>
      </c>
      <c r="P178" s="136"/>
      <c r="Q178" s="49"/>
      <c r="R178" s="49"/>
      <c r="S178" s="49">
        <v>980</v>
      </c>
      <c r="T178" s="49"/>
      <c r="U178" s="49"/>
      <c r="V178" s="136"/>
      <c r="W178" s="246"/>
      <c r="X178" s="55"/>
      <c r="Y178" s="55"/>
      <c r="Z178" s="55"/>
    </row>
    <row r="179" spans="1:26" ht="13.5" customHeight="1">
      <c r="A179" s="548" t="s">
        <v>77</v>
      </c>
      <c r="B179" s="136"/>
      <c r="C179" s="56"/>
      <c r="D179" s="136" t="s">
        <v>979</v>
      </c>
      <c r="E179" s="275">
        <f>SUM(F179:N179)</f>
        <v>0</v>
      </c>
      <c r="F179" s="136"/>
      <c r="G179" s="49"/>
      <c r="H179" s="49"/>
      <c r="I179" s="49"/>
      <c r="J179" s="279"/>
      <c r="K179" s="279"/>
      <c r="L179" s="49"/>
      <c r="M179" s="49"/>
      <c r="N179" s="136"/>
      <c r="O179" s="294">
        <f>SUM(P179:V179)</f>
        <v>980</v>
      </c>
      <c r="P179" s="136"/>
      <c r="Q179" s="49"/>
      <c r="R179" s="49"/>
      <c r="S179" s="49">
        <v>980</v>
      </c>
      <c r="T179" s="49"/>
      <c r="U179" s="49"/>
      <c r="V179" s="136"/>
      <c r="W179" s="246"/>
      <c r="X179" s="55"/>
      <c r="Y179" s="55"/>
      <c r="Z179" s="55"/>
    </row>
    <row r="180" spans="1:26" ht="13.5" customHeight="1">
      <c r="A180" s="548" t="s">
        <v>78</v>
      </c>
      <c r="B180" s="136"/>
      <c r="C180" s="56"/>
      <c r="D180" s="136" t="s">
        <v>1414</v>
      </c>
      <c r="E180" s="275"/>
      <c r="F180" s="136"/>
      <c r="G180" s="49"/>
      <c r="H180" s="49"/>
      <c r="I180" s="49"/>
      <c r="J180" s="279"/>
      <c r="K180" s="279"/>
      <c r="L180" s="49"/>
      <c r="M180" s="49"/>
      <c r="N180" s="136"/>
      <c r="O180" s="289">
        <f>ROUND(100*O179/O178,1)</f>
        <v>100</v>
      </c>
      <c r="P180" s="136">
        <f aca="true" t="shared" si="17" ref="P180:V180">SUM(P178:P179)</f>
        <v>0</v>
      </c>
      <c r="Q180" s="49">
        <f t="shared" si="17"/>
        <v>0</v>
      </c>
      <c r="R180" s="49">
        <f t="shared" si="17"/>
        <v>0</v>
      </c>
      <c r="S180" s="50">
        <f>ROUND(100*S179/S178,1)</f>
        <v>100</v>
      </c>
      <c r="T180" s="49"/>
      <c r="U180" s="49">
        <f t="shared" si="17"/>
        <v>0</v>
      </c>
      <c r="V180" s="136">
        <f t="shared" si="17"/>
        <v>0</v>
      </c>
      <c r="W180" s="246"/>
      <c r="X180" s="55"/>
      <c r="Y180" s="55"/>
      <c r="Z180" s="55"/>
    </row>
    <row r="181" spans="1:26" ht="13.5" customHeight="1">
      <c r="A181" s="546" t="s">
        <v>1341</v>
      </c>
      <c r="B181" s="136" t="s">
        <v>79</v>
      </c>
      <c r="C181" s="56" t="s">
        <v>1352</v>
      </c>
      <c r="D181" s="287"/>
      <c r="E181" s="275"/>
      <c r="F181" s="136"/>
      <c r="G181" s="49"/>
      <c r="H181" s="49"/>
      <c r="I181" s="49"/>
      <c r="J181" s="279"/>
      <c r="K181" s="279"/>
      <c r="L181" s="49"/>
      <c r="M181" s="49"/>
      <c r="N181" s="136"/>
      <c r="O181" s="275"/>
      <c r="P181" s="136"/>
      <c r="Q181" s="49"/>
      <c r="R181" s="49"/>
      <c r="S181" s="49"/>
      <c r="T181" s="49"/>
      <c r="U181" s="49"/>
      <c r="V181" s="136"/>
      <c r="W181" s="246"/>
      <c r="X181" s="55"/>
      <c r="Y181" s="55"/>
      <c r="Z181" s="55"/>
    </row>
    <row r="182" spans="1:26" ht="13.5" customHeight="1">
      <c r="A182" s="548" t="s">
        <v>80</v>
      </c>
      <c r="C182" s="212"/>
      <c r="D182" s="136" t="s">
        <v>1084</v>
      </c>
      <c r="E182" s="275"/>
      <c r="F182" s="481"/>
      <c r="G182" s="484"/>
      <c r="H182" s="484"/>
      <c r="I182" s="484"/>
      <c r="J182" s="483"/>
      <c r="K182" s="483"/>
      <c r="L182" s="484"/>
      <c r="M182" s="484"/>
      <c r="N182" s="481"/>
      <c r="O182" s="275">
        <f>SUM(P182:W182)</f>
        <v>150</v>
      </c>
      <c r="P182" s="481"/>
      <c r="Q182" s="484"/>
      <c r="R182" s="484"/>
      <c r="S182" s="49">
        <v>150</v>
      </c>
      <c r="T182" s="49"/>
      <c r="U182" s="484"/>
      <c r="V182" s="481"/>
      <c r="W182" s="246"/>
      <c r="X182" s="55"/>
      <c r="Y182" s="55"/>
      <c r="Z182" s="55"/>
    </row>
    <row r="183" spans="1:26" ht="13.5" customHeight="1">
      <c r="A183" s="548" t="s">
        <v>81</v>
      </c>
      <c r="B183" s="136"/>
      <c r="C183" s="56"/>
      <c r="D183" s="136" t="s">
        <v>978</v>
      </c>
      <c r="E183" s="275"/>
      <c r="F183" s="481"/>
      <c r="G183" s="484"/>
      <c r="H183" s="484"/>
      <c r="I183" s="484"/>
      <c r="J183" s="483"/>
      <c r="K183" s="483"/>
      <c r="L183" s="484"/>
      <c r="M183" s="484"/>
      <c r="N183" s="481"/>
      <c r="O183" s="275">
        <f>SUM(P183:W183)</f>
        <v>0</v>
      </c>
      <c r="P183" s="481"/>
      <c r="Q183" s="484"/>
      <c r="R183" s="484"/>
      <c r="S183" s="49"/>
      <c r="T183" s="49"/>
      <c r="U183" s="484"/>
      <c r="V183" s="481"/>
      <c r="W183" s="246"/>
      <c r="X183" s="55"/>
      <c r="Y183" s="55"/>
      <c r="Z183" s="55"/>
    </row>
    <row r="184" spans="1:26" ht="13.5" customHeight="1">
      <c r="A184" s="548" t="s">
        <v>82</v>
      </c>
      <c r="B184" s="136"/>
      <c r="C184" s="56"/>
      <c r="D184" s="136" t="s">
        <v>979</v>
      </c>
      <c r="E184" s="275"/>
      <c r="F184" s="481"/>
      <c r="G184" s="484"/>
      <c r="H184" s="484"/>
      <c r="I184" s="484"/>
      <c r="J184" s="483"/>
      <c r="K184" s="483"/>
      <c r="L184" s="484"/>
      <c r="M184" s="484"/>
      <c r="N184" s="481"/>
      <c r="O184" s="275">
        <f>SUM(P184:V184)</f>
        <v>0</v>
      </c>
      <c r="P184" s="481"/>
      <c r="Q184" s="484"/>
      <c r="R184" s="484"/>
      <c r="S184" s="49"/>
      <c r="T184" s="49"/>
      <c r="U184" s="484"/>
      <c r="V184" s="481"/>
      <c r="W184" s="246"/>
      <c r="X184" s="55"/>
      <c r="Y184" s="55"/>
      <c r="Z184" s="55"/>
    </row>
    <row r="185" spans="1:26" ht="13.5" customHeight="1">
      <c r="A185" s="548" t="s">
        <v>83</v>
      </c>
      <c r="B185" s="136"/>
      <c r="C185" s="56"/>
      <c r="D185" s="136" t="s">
        <v>1414</v>
      </c>
      <c r="E185" s="275"/>
      <c r="F185" s="481"/>
      <c r="G185" s="484"/>
      <c r="H185" s="484"/>
      <c r="I185" s="484"/>
      <c r="J185" s="483"/>
      <c r="K185" s="483"/>
      <c r="L185" s="484"/>
      <c r="M185" s="484"/>
      <c r="N185" s="481"/>
      <c r="O185" s="294"/>
      <c r="P185" s="481">
        <f aca="true" t="shared" si="18" ref="P185:V185">SUM(P183:P184)</f>
        <v>0</v>
      </c>
      <c r="Q185" s="484">
        <f t="shared" si="18"/>
        <v>0</v>
      </c>
      <c r="R185" s="484">
        <f t="shared" si="18"/>
        <v>0</v>
      </c>
      <c r="S185" s="49"/>
      <c r="T185" s="49"/>
      <c r="U185" s="484">
        <f t="shared" si="18"/>
        <v>0</v>
      </c>
      <c r="V185" s="481">
        <f t="shared" si="18"/>
        <v>0</v>
      </c>
      <c r="W185" s="246"/>
      <c r="X185" s="55"/>
      <c r="Y185" s="55"/>
      <c r="Z185" s="55"/>
    </row>
    <row r="186" spans="1:26" ht="13.5" customHeight="1">
      <c r="A186" s="546" t="s">
        <v>1343</v>
      </c>
      <c r="B186" s="136" t="s">
        <v>84</v>
      </c>
      <c r="C186" s="56" t="s">
        <v>85</v>
      </c>
      <c r="D186" s="136"/>
      <c r="E186" s="275"/>
      <c r="F186" s="481"/>
      <c r="G186" s="484"/>
      <c r="H186" s="484"/>
      <c r="I186" s="484"/>
      <c r="J186" s="483"/>
      <c r="K186" s="483"/>
      <c r="L186" s="484"/>
      <c r="M186" s="484"/>
      <c r="N186" s="481"/>
      <c r="O186" s="275"/>
      <c r="P186" s="481"/>
      <c r="Q186" s="484"/>
      <c r="R186" s="484"/>
      <c r="S186" s="484"/>
      <c r="T186" s="484"/>
      <c r="U186" s="484"/>
      <c r="V186" s="481"/>
      <c r="W186" s="246"/>
      <c r="X186" s="55"/>
      <c r="Y186" s="55"/>
      <c r="Z186" s="55"/>
    </row>
    <row r="187" spans="1:26" ht="13.5" customHeight="1">
      <c r="A187" s="548" t="s">
        <v>86</v>
      </c>
      <c r="C187" s="212"/>
      <c r="D187" s="136" t="s">
        <v>1084</v>
      </c>
      <c r="E187" s="275">
        <f>SUM(F187:N187)</f>
        <v>0</v>
      </c>
      <c r="F187" s="481"/>
      <c r="G187" s="484"/>
      <c r="H187" s="484"/>
      <c r="I187" s="484"/>
      <c r="J187" s="279"/>
      <c r="K187" s="279"/>
      <c r="L187" s="484"/>
      <c r="M187" s="484"/>
      <c r="N187" s="481"/>
      <c r="O187" s="275">
        <f>SUM(P187:V187)</f>
        <v>0</v>
      </c>
      <c r="P187" s="481"/>
      <c r="Q187" s="484"/>
      <c r="R187" s="484"/>
      <c r="S187" s="484"/>
      <c r="T187" s="484"/>
      <c r="U187" s="484"/>
      <c r="V187" s="481"/>
      <c r="W187" s="246"/>
      <c r="X187" s="55"/>
      <c r="Y187" s="55"/>
      <c r="Z187" s="55"/>
    </row>
    <row r="188" spans="1:26" ht="13.5" customHeight="1">
      <c r="A188" s="548" t="s">
        <v>87</v>
      </c>
      <c r="B188" s="136"/>
      <c r="C188" s="56"/>
      <c r="D188" s="136" t="s">
        <v>978</v>
      </c>
      <c r="E188" s="275">
        <f>SUM(F188:N188)</f>
        <v>1437</v>
      </c>
      <c r="F188" s="481"/>
      <c r="G188" s="484"/>
      <c r="H188" s="484"/>
      <c r="I188" s="484"/>
      <c r="J188" s="279">
        <v>1437</v>
      </c>
      <c r="K188" s="279"/>
      <c r="L188" s="484"/>
      <c r="M188" s="484"/>
      <c r="N188" s="481"/>
      <c r="O188" s="275">
        <f>SUM(P188:W188)</f>
        <v>1437</v>
      </c>
      <c r="P188" s="481"/>
      <c r="Q188" s="484"/>
      <c r="R188" s="484"/>
      <c r="S188" s="49">
        <v>1437</v>
      </c>
      <c r="T188" s="49"/>
      <c r="U188" s="484"/>
      <c r="V188" s="481"/>
      <c r="W188" s="246"/>
      <c r="X188" s="55"/>
      <c r="Y188" s="55"/>
      <c r="Z188" s="55"/>
    </row>
    <row r="189" spans="1:26" ht="13.5" customHeight="1">
      <c r="A189" s="548" t="s">
        <v>88</v>
      </c>
      <c r="B189" s="136"/>
      <c r="C189" s="56"/>
      <c r="D189" s="136" t="s">
        <v>979</v>
      </c>
      <c r="E189" s="275">
        <f>SUM(F189:N189)</f>
        <v>1437</v>
      </c>
      <c r="F189" s="481"/>
      <c r="G189" s="484"/>
      <c r="H189" s="484"/>
      <c r="I189" s="484"/>
      <c r="J189" s="279">
        <v>1437</v>
      </c>
      <c r="K189" s="279"/>
      <c r="L189" s="484"/>
      <c r="M189" s="484"/>
      <c r="N189" s="481"/>
      <c r="O189" s="294">
        <f>SUM(P189:W189)</f>
        <v>1437</v>
      </c>
      <c r="P189" s="481"/>
      <c r="Q189" s="484"/>
      <c r="R189" s="484"/>
      <c r="S189" s="49">
        <v>1437</v>
      </c>
      <c r="T189" s="49"/>
      <c r="U189" s="484"/>
      <c r="V189" s="481"/>
      <c r="W189" s="246"/>
      <c r="X189" s="55"/>
      <c r="Y189" s="55"/>
      <c r="Z189" s="55"/>
    </row>
    <row r="190" spans="1:26" ht="13.5" customHeight="1">
      <c r="A190" s="548" t="s">
        <v>89</v>
      </c>
      <c r="B190" s="136"/>
      <c r="C190" s="56"/>
      <c r="D190" s="136" t="s">
        <v>1414</v>
      </c>
      <c r="E190" s="289">
        <f>ROUND(100*E189/E188,1)</f>
        <v>100</v>
      </c>
      <c r="F190" s="481">
        <f aca="true" t="shared" si="19" ref="F190:V190">SUM(F188:F189)</f>
        <v>0</v>
      </c>
      <c r="G190" s="484">
        <f t="shared" si="19"/>
        <v>0</v>
      </c>
      <c r="H190" s="484">
        <f t="shared" si="19"/>
        <v>0</v>
      </c>
      <c r="I190" s="484">
        <f t="shared" si="19"/>
        <v>0</v>
      </c>
      <c r="J190" s="392">
        <f>ROUND(100*J189/J188,1)</f>
        <v>100</v>
      </c>
      <c r="K190" s="279"/>
      <c r="L190" s="484">
        <f t="shared" si="19"/>
        <v>0</v>
      </c>
      <c r="M190" s="484">
        <f t="shared" si="19"/>
        <v>0</v>
      </c>
      <c r="N190" s="481">
        <f t="shared" si="19"/>
        <v>0</v>
      </c>
      <c r="O190" s="289">
        <f>ROUND(100*O189/O188,1)</f>
        <v>100</v>
      </c>
      <c r="P190" s="481">
        <f t="shared" si="19"/>
        <v>0</v>
      </c>
      <c r="Q190" s="484">
        <f t="shared" si="19"/>
        <v>0</v>
      </c>
      <c r="R190" s="484">
        <f t="shared" si="19"/>
        <v>0</v>
      </c>
      <c r="S190" s="50">
        <f>ROUND(100*S189/S188,1)</f>
        <v>100</v>
      </c>
      <c r="T190" s="49"/>
      <c r="U190" s="484">
        <f t="shared" si="19"/>
        <v>0</v>
      </c>
      <c r="V190" s="481">
        <f t="shared" si="19"/>
        <v>0</v>
      </c>
      <c r="W190" s="246"/>
      <c r="X190" s="55"/>
      <c r="Y190" s="55"/>
      <c r="Z190" s="55"/>
    </row>
    <row r="191" spans="1:26" ht="13.5" customHeight="1">
      <c r="A191" s="546" t="s">
        <v>1345</v>
      </c>
      <c r="B191" s="136" t="s">
        <v>90</v>
      </c>
      <c r="C191" s="56" t="s">
        <v>1344</v>
      </c>
      <c r="D191" s="136"/>
      <c r="E191" s="275"/>
      <c r="F191" s="481"/>
      <c r="G191" s="484"/>
      <c r="H191" s="484"/>
      <c r="I191" s="484"/>
      <c r="J191" s="483"/>
      <c r="K191" s="483"/>
      <c r="L191" s="484"/>
      <c r="M191" s="484"/>
      <c r="N191" s="481"/>
      <c r="O191" s="275">
        <f>SUM(P191:V191)</f>
        <v>0</v>
      </c>
      <c r="P191" s="481"/>
      <c r="Q191" s="484"/>
      <c r="R191" s="484"/>
      <c r="S191" s="484"/>
      <c r="T191" s="484"/>
      <c r="U191" s="484"/>
      <c r="V191" s="481"/>
      <c r="W191" s="246"/>
      <c r="X191" s="55"/>
      <c r="Y191" s="55"/>
      <c r="Z191" s="55"/>
    </row>
    <row r="192" spans="1:26" ht="13.5" customHeight="1">
      <c r="A192" s="548" t="s">
        <v>91</v>
      </c>
      <c r="C192" s="212"/>
      <c r="D192" s="136" t="s">
        <v>1084</v>
      </c>
      <c r="E192" s="275">
        <f>SUM(F192:M192)</f>
        <v>0</v>
      </c>
      <c r="F192" s="136"/>
      <c r="G192" s="49"/>
      <c r="H192" s="49"/>
      <c r="I192" s="49"/>
      <c r="J192" s="279"/>
      <c r="K192" s="279"/>
      <c r="L192" s="49"/>
      <c r="M192" s="49"/>
      <c r="N192" s="136"/>
      <c r="O192" s="275">
        <f>SUM(P192:W192)</f>
        <v>400</v>
      </c>
      <c r="P192" s="136"/>
      <c r="Q192" s="49"/>
      <c r="R192" s="49"/>
      <c r="S192" s="49">
        <v>400</v>
      </c>
      <c r="T192" s="49"/>
      <c r="U192" s="49"/>
      <c r="V192" s="136"/>
      <c r="W192" s="246"/>
      <c r="X192" s="55"/>
      <c r="Y192" s="55"/>
      <c r="Z192" s="55"/>
    </row>
    <row r="193" spans="1:26" ht="13.5" customHeight="1">
      <c r="A193" s="548" t="s">
        <v>92</v>
      </c>
      <c r="B193" s="136"/>
      <c r="C193" s="56"/>
      <c r="D193" s="136" t="s">
        <v>978</v>
      </c>
      <c r="E193" s="275"/>
      <c r="F193" s="136"/>
      <c r="G193" s="49"/>
      <c r="H193" s="49"/>
      <c r="I193" s="49"/>
      <c r="J193" s="279"/>
      <c r="K193" s="279"/>
      <c r="L193" s="49"/>
      <c r="M193" s="49"/>
      <c r="N193" s="136"/>
      <c r="O193" s="275">
        <f>SUM(P193:W193)</f>
        <v>133</v>
      </c>
      <c r="P193" s="136"/>
      <c r="Q193" s="49"/>
      <c r="R193" s="49"/>
      <c r="S193" s="49">
        <v>133</v>
      </c>
      <c r="T193" s="49"/>
      <c r="U193" s="49"/>
      <c r="V193" s="136"/>
      <c r="W193" s="246"/>
      <c r="X193" s="55"/>
      <c r="Y193" s="55"/>
      <c r="Z193" s="55"/>
    </row>
    <row r="194" spans="1:26" ht="13.5" customHeight="1">
      <c r="A194" s="548" t="s">
        <v>93</v>
      </c>
      <c r="B194" s="136"/>
      <c r="C194" s="56"/>
      <c r="D194" s="136" t="s">
        <v>979</v>
      </c>
      <c r="E194" s="275">
        <f>SUM(F194:N194)</f>
        <v>0</v>
      </c>
      <c r="F194" s="136"/>
      <c r="G194" s="49"/>
      <c r="H194" s="49"/>
      <c r="I194" s="49"/>
      <c r="J194" s="279"/>
      <c r="K194" s="279"/>
      <c r="L194" s="49"/>
      <c r="M194" s="49"/>
      <c r="N194" s="136"/>
      <c r="O194" s="294">
        <f>SUM(P194:W194)</f>
        <v>133</v>
      </c>
      <c r="P194" s="136"/>
      <c r="Q194" s="49"/>
      <c r="R194" s="49"/>
      <c r="S194" s="49">
        <v>133</v>
      </c>
      <c r="T194" s="49"/>
      <c r="U194" s="49"/>
      <c r="V194" s="136"/>
      <c r="W194" s="246"/>
      <c r="X194" s="55"/>
      <c r="Y194" s="55"/>
      <c r="Z194" s="55"/>
    </row>
    <row r="195" spans="1:26" ht="13.5" customHeight="1">
      <c r="A195" s="548" t="s">
        <v>94</v>
      </c>
      <c r="B195" s="136"/>
      <c r="C195" s="56"/>
      <c r="D195" s="136" t="s">
        <v>1414</v>
      </c>
      <c r="E195" s="275"/>
      <c r="F195" s="136"/>
      <c r="G195" s="49"/>
      <c r="H195" s="49"/>
      <c r="I195" s="49"/>
      <c r="J195" s="279"/>
      <c r="K195" s="279"/>
      <c r="L195" s="49"/>
      <c r="M195" s="49"/>
      <c r="N195" s="136"/>
      <c r="O195" s="289">
        <f>ROUND(100*O194/O193,1)</f>
        <v>100</v>
      </c>
      <c r="P195" s="136">
        <f aca="true" t="shared" si="20" ref="P195:V195">SUM(P193:P194)</f>
        <v>0</v>
      </c>
      <c r="Q195" s="49">
        <f t="shared" si="20"/>
        <v>0</v>
      </c>
      <c r="R195" s="49">
        <f t="shared" si="20"/>
        <v>0</v>
      </c>
      <c r="S195" s="50">
        <f>ROUND(100*S194/S193,1)</f>
        <v>100</v>
      </c>
      <c r="T195" s="49"/>
      <c r="U195" s="49">
        <f t="shared" si="20"/>
        <v>0</v>
      </c>
      <c r="V195" s="136">
        <f t="shared" si="20"/>
        <v>0</v>
      </c>
      <c r="W195" s="246"/>
      <c r="X195" s="55"/>
      <c r="Y195" s="55"/>
      <c r="Z195" s="55"/>
    </row>
    <row r="196" spans="1:26" ht="13.5" customHeight="1">
      <c r="A196" s="546" t="s">
        <v>1347</v>
      </c>
      <c r="B196" s="136" t="s">
        <v>95</v>
      </c>
      <c r="C196" s="56" t="s">
        <v>1342</v>
      </c>
      <c r="D196" s="287"/>
      <c r="E196" s="275"/>
      <c r="F196" s="136"/>
      <c r="G196" s="49"/>
      <c r="H196" s="49"/>
      <c r="I196" s="49"/>
      <c r="J196" s="279"/>
      <c r="K196" s="279"/>
      <c r="L196" s="49"/>
      <c r="M196" s="49"/>
      <c r="N196" s="136"/>
      <c r="O196" s="275"/>
      <c r="P196" s="136"/>
      <c r="Q196" s="49"/>
      <c r="R196" s="49"/>
      <c r="S196" s="49"/>
      <c r="T196" s="49"/>
      <c r="U196" s="49"/>
      <c r="V196" s="136"/>
      <c r="W196" s="246"/>
      <c r="X196" s="55"/>
      <c r="Y196" s="55"/>
      <c r="Z196" s="55"/>
    </row>
    <row r="197" spans="1:26" ht="13.5" customHeight="1">
      <c r="A197" s="548" t="s">
        <v>96</v>
      </c>
      <c r="C197" s="212"/>
      <c r="D197" s="136" t="s">
        <v>1084</v>
      </c>
      <c r="E197" s="275">
        <f>SUM(F197:M197)</f>
        <v>0</v>
      </c>
      <c r="F197" s="136"/>
      <c r="G197" s="49"/>
      <c r="H197" s="49"/>
      <c r="I197" s="49"/>
      <c r="J197" s="279"/>
      <c r="K197" s="279"/>
      <c r="L197" s="49"/>
      <c r="M197" s="56"/>
      <c r="N197" s="280"/>
      <c r="O197" s="275">
        <f>SUM(P197:W197)</f>
        <v>800</v>
      </c>
      <c r="P197" s="136"/>
      <c r="Q197" s="49"/>
      <c r="R197" s="49"/>
      <c r="S197" s="49">
        <v>800</v>
      </c>
      <c r="T197" s="49"/>
      <c r="U197" s="49"/>
      <c r="V197" s="136"/>
      <c r="W197" s="246"/>
      <c r="X197" s="55"/>
      <c r="Y197" s="55"/>
      <c r="Z197" s="55"/>
    </row>
    <row r="198" spans="1:26" ht="13.5" customHeight="1">
      <c r="A198" s="548" t="s">
        <v>97</v>
      </c>
      <c r="B198" s="136"/>
      <c r="C198" s="56"/>
      <c r="D198" s="136" t="s">
        <v>978</v>
      </c>
      <c r="E198" s="275"/>
      <c r="F198" s="136"/>
      <c r="G198" s="49"/>
      <c r="H198" s="49"/>
      <c r="I198" s="49"/>
      <c r="J198" s="279"/>
      <c r="K198" s="279"/>
      <c r="L198" s="49"/>
      <c r="M198" s="56"/>
      <c r="N198" s="280"/>
      <c r="O198" s="275">
        <f>SUM(P198:W198)</f>
        <v>0</v>
      </c>
      <c r="P198" s="136"/>
      <c r="Q198" s="49"/>
      <c r="R198" s="49"/>
      <c r="S198" s="49"/>
      <c r="T198" s="49"/>
      <c r="U198" s="49"/>
      <c r="V198" s="136"/>
      <c r="W198" s="246"/>
      <c r="X198" s="55"/>
      <c r="Y198" s="55"/>
      <c r="Z198" s="55"/>
    </row>
    <row r="199" spans="1:26" ht="13.5" customHeight="1">
      <c r="A199" s="548" t="s">
        <v>98</v>
      </c>
      <c r="B199" s="136"/>
      <c r="C199" s="56"/>
      <c r="D199" s="136" t="s">
        <v>979</v>
      </c>
      <c r="E199" s="275">
        <f>SUM(F199:N199)</f>
        <v>0</v>
      </c>
      <c r="F199" s="136"/>
      <c r="G199" s="49"/>
      <c r="H199" s="49"/>
      <c r="I199" s="49"/>
      <c r="J199" s="279"/>
      <c r="K199" s="279"/>
      <c r="L199" s="49"/>
      <c r="M199" s="56"/>
      <c r="N199" s="280"/>
      <c r="O199" s="275">
        <f>SUM(P199:W199)</f>
        <v>0</v>
      </c>
      <c r="P199" s="136"/>
      <c r="Q199" s="49"/>
      <c r="R199" s="49"/>
      <c r="S199" s="49"/>
      <c r="T199" s="49"/>
      <c r="U199" s="49"/>
      <c r="V199" s="136"/>
      <c r="W199" s="549"/>
      <c r="X199" s="313"/>
      <c r="Y199" s="55"/>
      <c r="Z199" s="55"/>
    </row>
    <row r="200" spans="1:26" ht="13.5" customHeight="1">
      <c r="A200" s="548" t="s">
        <v>99</v>
      </c>
      <c r="B200" s="136"/>
      <c r="C200" s="56"/>
      <c r="D200" s="136" t="s">
        <v>1414</v>
      </c>
      <c r="E200" s="275"/>
      <c r="F200" s="136"/>
      <c r="G200" s="49"/>
      <c r="H200" s="49"/>
      <c r="I200" s="49"/>
      <c r="J200" s="279"/>
      <c r="K200" s="279"/>
      <c r="L200" s="49"/>
      <c r="M200" s="56"/>
      <c r="N200" s="280"/>
      <c r="O200" s="294">
        <f aca="true" t="shared" si="21" ref="O200:V200">SUM(O198:O199)</f>
        <v>0</v>
      </c>
      <c r="P200" s="136">
        <f t="shared" si="21"/>
        <v>0</v>
      </c>
      <c r="Q200" s="49">
        <f t="shared" si="21"/>
        <v>0</v>
      </c>
      <c r="R200" s="49">
        <f t="shared" si="21"/>
        <v>0</v>
      </c>
      <c r="S200" s="49">
        <f t="shared" si="21"/>
        <v>0</v>
      </c>
      <c r="T200" s="49"/>
      <c r="U200" s="49">
        <f t="shared" si="21"/>
        <v>0</v>
      </c>
      <c r="V200" s="136">
        <f t="shared" si="21"/>
        <v>0</v>
      </c>
      <c r="W200" s="246"/>
      <c r="X200" s="55"/>
      <c r="Y200" s="55"/>
      <c r="Z200" s="55"/>
    </row>
    <row r="201" spans="1:26" ht="13.5" customHeight="1">
      <c r="A201" s="546" t="s">
        <v>1349</v>
      </c>
      <c r="B201" s="136" t="s">
        <v>100</v>
      </c>
      <c r="C201" s="56" t="s">
        <v>101</v>
      </c>
      <c r="D201" s="287"/>
      <c r="E201" s="275"/>
      <c r="F201" s="136"/>
      <c r="G201" s="49"/>
      <c r="H201" s="49"/>
      <c r="I201" s="49"/>
      <c r="J201" s="279"/>
      <c r="K201" s="279"/>
      <c r="L201" s="49"/>
      <c r="M201" s="56"/>
      <c r="N201" s="280"/>
      <c r="O201" s="275"/>
      <c r="P201" s="136"/>
      <c r="Q201" s="49"/>
      <c r="R201" s="49"/>
      <c r="S201" s="49"/>
      <c r="T201" s="49"/>
      <c r="U201" s="49"/>
      <c r="V201" s="136"/>
      <c r="W201" s="246"/>
      <c r="X201" s="55"/>
      <c r="Y201" s="55"/>
      <c r="Z201" s="55"/>
    </row>
    <row r="202" spans="1:26" ht="13.5" customHeight="1">
      <c r="A202" s="548" t="s">
        <v>102</v>
      </c>
      <c r="C202" s="212"/>
      <c r="D202" s="136" t="s">
        <v>1084</v>
      </c>
      <c r="E202" s="275">
        <f>SUM(F202:N202)</f>
        <v>0</v>
      </c>
      <c r="F202" s="136"/>
      <c r="G202" s="49"/>
      <c r="H202" s="49"/>
      <c r="I202" s="49"/>
      <c r="J202" s="279"/>
      <c r="K202" s="279"/>
      <c r="L202" s="49"/>
      <c r="M202" s="56"/>
      <c r="N202" s="280"/>
      <c r="O202" s="275">
        <f>SUM(P202:V202)</f>
        <v>0</v>
      </c>
      <c r="P202" s="136"/>
      <c r="Q202" s="49"/>
      <c r="R202" s="49"/>
      <c r="S202" s="49"/>
      <c r="T202" s="49"/>
      <c r="U202" s="49"/>
      <c r="V202" s="136"/>
      <c r="W202" s="246"/>
      <c r="X202" s="55"/>
      <c r="Y202" s="55"/>
      <c r="Z202" s="55"/>
    </row>
    <row r="203" spans="1:26" ht="13.5" customHeight="1">
      <c r="A203" s="548" t="s">
        <v>103</v>
      </c>
      <c r="B203" s="136"/>
      <c r="C203" s="56"/>
      <c r="D203" s="136" t="s">
        <v>978</v>
      </c>
      <c r="E203" s="275">
        <f>SUM(F203:N203)</f>
        <v>5365</v>
      </c>
      <c r="F203" s="136"/>
      <c r="G203" s="49"/>
      <c r="H203" s="49"/>
      <c r="I203" s="49"/>
      <c r="J203" s="279">
        <v>5365</v>
      </c>
      <c r="K203" s="279"/>
      <c r="L203" s="49"/>
      <c r="M203" s="56"/>
      <c r="N203" s="280"/>
      <c r="O203" s="275">
        <f>SUM(P203:W203)</f>
        <v>5345</v>
      </c>
      <c r="P203" s="136"/>
      <c r="Q203" s="49"/>
      <c r="R203" s="49"/>
      <c r="S203" s="49">
        <v>5345</v>
      </c>
      <c r="T203" s="49"/>
      <c r="U203" s="49"/>
      <c r="V203" s="136"/>
      <c r="W203" s="246"/>
      <c r="X203" s="55"/>
      <c r="Y203" s="55"/>
      <c r="Z203" s="55"/>
    </row>
    <row r="204" spans="1:26" ht="13.5" customHeight="1">
      <c r="A204" s="548" t="s">
        <v>104</v>
      </c>
      <c r="B204" s="136"/>
      <c r="C204" s="56"/>
      <c r="D204" s="136" t="s">
        <v>979</v>
      </c>
      <c r="E204" s="275">
        <f>SUM(F204:N204)</f>
        <v>5364</v>
      </c>
      <c r="F204" s="136"/>
      <c r="G204" s="49"/>
      <c r="H204" s="49"/>
      <c r="I204" s="49"/>
      <c r="J204" s="279">
        <v>5364</v>
      </c>
      <c r="K204" s="279"/>
      <c r="L204" s="49"/>
      <c r="M204" s="56"/>
      <c r="N204" s="280"/>
      <c r="O204" s="294">
        <f>SUM(P204:W204)</f>
        <v>5345</v>
      </c>
      <c r="P204" s="136"/>
      <c r="Q204" s="49"/>
      <c r="R204" s="49"/>
      <c r="S204" s="49">
        <v>5345</v>
      </c>
      <c r="T204" s="49"/>
      <c r="U204" s="49"/>
      <c r="V204" s="136"/>
      <c r="W204" s="246"/>
      <c r="X204" s="55"/>
      <c r="Y204" s="55"/>
      <c r="Z204" s="55"/>
    </row>
    <row r="205" spans="1:26" ht="13.5" customHeight="1">
      <c r="A205" s="548" t="s">
        <v>105</v>
      </c>
      <c r="B205" s="136"/>
      <c r="C205" s="56"/>
      <c r="D205" s="136" t="s">
        <v>1414</v>
      </c>
      <c r="E205" s="289">
        <f>ROUND(100*E204/E203,1)</f>
        <v>100</v>
      </c>
      <c r="F205" s="136">
        <f aca="true" t="shared" si="22" ref="F205:V205">SUM(F203:F204)</f>
        <v>0</v>
      </c>
      <c r="G205" s="49">
        <f t="shared" si="22"/>
        <v>0</v>
      </c>
      <c r="H205" s="49">
        <f t="shared" si="22"/>
        <v>0</v>
      </c>
      <c r="I205" s="49">
        <f t="shared" si="22"/>
        <v>0</v>
      </c>
      <c r="J205" s="392">
        <f>ROUND(100*J204/J203,1)</f>
        <v>100</v>
      </c>
      <c r="K205" s="279"/>
      <c r="L205" s="49">
        <f t="shared" si="22"/>
        <v>0</v>
      </c>
      <c r="M205" s="56">
        <f t="shared" si="22"/>
        <v>0</v>
      </c>
      <c r="N205" s="280">
        <f t="shared" si="22"/>
        <v>0</v>
      </c>
      <c r="O205" s="289">
        <f>ROUND(100*O204/O203,1)</f>
        <v>100</v>
      </c>
      <c r="P205" s="136">
        <f t="shared" si="22"/>
        <v>0</v>
      </c>
      <c r="Q205" s="49">
        <f t="shared" si="22"/>
        <v>0</v>
      </c>
      <c r="R205" s="49">
        <f t="shared" si="22"/>
        <v>0</v>
      </c>
      <c r="S205" s="50">
        <f>ROUND(100*S204/S203,1)</f>
        <v>100</v>
      </c>
      <c r="T205" s="49"/>
      <c r="U205" s="49">
        <f t="shared" si="22"/>
        <v>0</v>
      </c>
      <c r="V205" s="136">
        <f t="shared" si="22"/>
        <v>0</v>
      </c>
      <c r="W205" s="246"/>
      <c r="X205" s="55"/>
      <c r="Y205" s="55"/>
      <c r="Z205" s="55"/>
    </row>
    <row r="206" spans="1:26" ht="13.5" customHeight="1">
      <c r="A206" s="548" t="s">
        <v>1351</v>
      </c>
      <c r="B206" s="136" t="s">
        <v>106</v>
      </c>
      <c r="C206" s="56" t="s">
        <v>107</v>
      </c>
      <c r="D206" s="136"/>
      <c r="E206" s="275"/>
      <c r="F206" s="136"/>
      <c r="G206" s="49"/>
      <c r="H206" s="49"/>
      <c r="I206" s="49"/>
      <c r="J206" s="279"/>
      <c r="K206" s="279"/>
      <c r="L206" s="49"/>
      <c r="M206" s="56"/>
      <c r="N206" s="280"/>
      <c r="O206" s="275"/>
      <c r="P206" s="136"/>
      <c r="Q206" s="49"/>
      <c r="R206" s="49"/>
      <c r="S206" s="49"/>
      <c r="T206" s="49"/>
      <c r="U206" s="49"/>
      <c r="V206" s="136"/>
      <c r="W206" s="246"/>
      <c r="X206" s="55"/>
      <c r="Y206" s="55"/>
      <c r="Z206" s="55"/>
    </row>
    <row r="207" spans="1:26" ht="13.5" customHeight="1">
      <c r="A207" s="548" t="s">
        <v>108</v>
      </c>
      <c r="C207" s="212"/>
      <c r="D207" s="136" t="s">
        <v>1084</v>
      </c>
      <c r="E207" s="275"/>
      <c r="F207" s="136"/>
      <c r="G207" s="49"/>
      <c r="H207" s="49"/>
      <c r="I207" s="49"/>
      <c r="J207" s="279"/>
      <c r="K207" s="279"/>
      <c r="L207" s="49"/>
      <c r="M207" s="56"/>
      <c r="N207" s="280"/>
      <c r="O207" s="275">
        <f>SUM(P207:W207)</f>
        <v>7675</v>
      </c>
      <c r="P207" s="136"/>
      <c r="Q207" s="49"/>
      <c r="R207" s="49"/>
      <c r="S207" s="49">
        <v>7675</v>
      </c>
      <c r="T207" s="49"/>
      <c r="U207" s="49"/>
      <c r="V207" s="136"/>
      <c r="W207" s="246"/>
      <c r="X207" s="55"/>
      <c r="Y207" s="55"/>
      <c r="Z207" s="55"/>
    </row>
    <row r="208" spans="1:26" ht="13.5" customHeight="1">
      <c r="A208" s="548" t="s">
        <v>109</v>
      </c>
      <c r="B208" s="136"/>
      <c r="C208" s="56"/>
      <c r="D208" s="136" t="s">
        <v>978</v>
      </c>
      <c r="E208" s="275">
        <f>SUM(F208:N208)</f>
        <v>-21</v>
      </c>
      <c r="F208" s="136"/>
      <c r="G208" s="49"/>
      <c r="H208" s="49"/>
      <c r="I208" s="49"/>
      <c r="J208" s="279">
        <v>-21</v>
      </c>
      <c r="K208" s="279"/>
      <c r="L208" s="49"/>
      <c r="M208" s="56"/>
      <c r="N208" s="280"/>
      <c r="O208" s="275">
        <f>SUM(P208:W208)</f>
        <v>9139</v>
      </c>
      <c r="P208" s="136"/>
      <c r="Q208" s="49"/>
      <c r="R208" s="49"/>
      <c r="S208" s="49">
        <v>9139</v>
      </c>
      <c r="T208" s="49"/>
      <c r="U208" s="49"/>
      <c r="V208" s="136"/>
      <c r="W208" s="246"/>
      <c r="X208" s="55"/>
      <c r="Y208" s="55"/>
      <c r="Z208" s="55"/>
    </row>
    <row r="209" spans="1:26" ht="13.5" customHeight="1">
      <c r="A209" s="548" t="s">
        <v>110</v>
      </c>
      <c r="B209" s="136"/>
      <c r="C209" s="56"/>
      <c r="D209" s="136" t="s">
        <v>979</v>
      </c>
      <c r="E209" s="275">
        <f>SUM(F209:N209)</f>
        <v>0</v>
      </c>
      <c r="F209" s="136"/>
      <c r="G209" s="49"/>
      <c r="H209" s="49"/>
      <c r="I209" s="49"/>
      <c r="J209" s="279"/>
      <c r="K209" s="279"/>
      <c r="L209" s="49"/>
      <c r="M209" s="56"/>
      <c r="N209" s="280"/>
      <c r="O209" s="294">
        <f>SUM(P209:W209)</f>
        <v>9069</v>
      </c>
      <c r="P209" s="136"/>
      <c r="Q209" s="49"/>
      <c r="R209" s="49"/>
      <c r="S209" s="49">
        <v>9069</v>
      </c>
      <c r="T209" s="49"/>
      <c r="U209" s="49"/>
      <c r="V209" s="136"/>
      <c r="W209" s="246"/>
      <c r="X209" s="55"/>
      <c r="Y209" s="55"/>
      <c r="Z209" s="55"/>
    </row>
    <row r="210" spans="1:26" ht="13.5" customHeight="1">
      <c r="A210" s="562" t="s">
        <v>111</v>
      </c>
      <c r="B210" s="277"/>
      <c r="C210" s="544"/>
      <c r="D210" s="277" t="s">
        <v>1414</v>
      </c>
      <c r="E210" s="531"/>
      <c r="F210" s="277">
        <f aca="true" t="shared" si="23" ref="F210:V210">SUM(F208:F209)</f>
        <v>0</v>
      </c>
      <c r="G210" s="439">
        <f t="shared" si="23"/>
        <v>0</v>
      </c>
      <c r="H210" s="439">
        <f t="shared" si="23"/>
        <v>0</v>
      </c>
      <c r="I210" s="439">
        <f t="shared" si="23"/>
        <v>0</v>
      </c>
      <c r="J210" s="563"/>
      <c r="K210" s="284"/>
      <c r="L210" s="439">
        <f t="shared" si="23"/>
        <v>0</v>
      </c>
      <c r="M210" s="544">
        <f t="shared" si="23"/>
        <v>0</v>
      </c>
      <c r="N210" s="285">
        <f t="shared" si="23"/>
        <v>0</v>
      </c>
      <c r="O210" s="531">
        <f>ROUND(100*O209/O208,1)</f>
        <v>99.2</v>
      </c>
      <c r="P210" s="277">
        <f t="shared" si="23"/>
        <v>0</v>
      </c>
      <c r="Q210" s="439">
        <f t="shared" si="23"/>
        <v>0</v>
      </c>
      <c r="R210" s="439">
        <f t="shared" si="23"/>
        <v>0</v>
      </c>
      <c r="S210" s="534">
        <f>ROUND(100*S209/S208,1)</f>
        <v>99.2</v>
      </c>
      <c r="T210" s="439"/>
      <c r="U210" s="439">
        <f t="shared" si="23"/>
        <v>0</v>
      </c>
      <c r="V210" s="277">
        <f t="shared" si="23"/>
        <v>0</v>
      </c>
      <c r="W210" s="545"/>
      <c r="X210" s="55"/>
      <c r="Y210" s="311"/>
      <c r="Z210" s="55"/>
    </row>
    <row r="211" spans="2:26" ht="13.5" customHeight="1">
      <c r="B211" s="136"/>
      <c r="C211" s="136"/>
      <c r="D211" s="136"/>
      <c r="E211" s="302"/>
      <c r="F211" s="136"/>
      <c r="G211" s="136"/>
      <c r="H211" s="136"/>
      <c r="I211" s="136"/>
      <c r="J211" s="136"/>
      <c r="K211" s="136"/>
      <c r="L211" s="136"/>
      <c r="M211" s="136"/>
      <c r="N211" s="136"/>
      <c r="O211" s="302"/>
      <c r="P211" s="136"/>
      <c r="Q211" s="136"/>
      <c r="R211" s="136"/>
      <c r="S211" s="136"/>
      <c r="T211" s="136"/>
      <c r="U211" s="136"/>
      <c r="V211" s="136"/>
      <c r="W211" s="311"/>
      <c r="X211" s="55"/>
      <c r="Y211" s="55"/>
      <c r="Z211" s="55"/>
    </row>
    <row r="212" spans="2:26" ht="13.5" customHeight="1">
      <c r="B212" s="136"/>
      <c r="C212" s="136"/>
      <c r="D212" s="136"/>
      <c r="E212" s="302"/>
      <c r="F212" s="136"/>
      <c r="G212" s="136"/>
      <c r="H212" s="136"/>
      <c r="I212" s="136"/>
      <c r="J212" s="136"/>
      <c r="K212" s="136"/>
      <c r="L212" s="136"/>
      <c r="M212" s="136"/>
      <c r="N212" s="136"/>
      <c r="O212" s="302"/>
      <c r="P212" s="136"/>
      <c r="Q212" s="136"/>
      <c r="R212" s="136"/>
      <c r="S212" s="136"/>
      <c r="T212" s="136"/>
      <c r="U212" s="136"/>
      <c r="V212" s="136"/>
      <c r="W212" s="311"/>
      <c r="X212" s="55"/>
      <c r="Y212" s="55"/>
      <c r="Z212" s="55"/>
    </row>
    <row r="213" spans="2:26" ht="13.5" customHeight="1">
      <c r="B213" s="136"/>
      <c r="C213" s="136"/>
      <c r="D213" s="136"/>
      <c r="E213" s="302"/>
      <c r="F213" s="136"/>
      <c r="G213" s="136"/>
      <c r="H213" s="136"/>
      <c r="I213" s="136"/>
      <c r="J213" s="136"/>
      <c r="K213" s="136"/>
      <c r="L213" s="136"/>
      <c r="M213" s="136"/>
      <c r="N213" s="136"/>
      <c r="O213" s="302"/>
      <c r="P213" s="136"/>
      <c r="Q213" s="136"/>
      <c r="R213" s="136"/>
      <c r="S213" s="136"/>
      <c r="T213" s="136"/>
      <c r="U213" s="136"/>
      <c r="V213" s="136"/>
      <c r="W213" s="311"/>
      <c r="X213" s="55"/>
      <c r="Y213" s="55"/>
      <c r="Z213" s="55"/>
    </row>
    <row r="214" spans="2:26" ht="13.5" customHeight="1">
      <c r="B214" s="136"/>
      <c r="C214" s="136"/>
      <c r="D214" s="136"/>
      <c r="E214" s="302"/>
      <c r="F214" s="136"/>
      <c r="G214" s="136"/>
      <c r="H214" s="136"/>
      <c r="I214" s="136"/>
      <c r="J214" s="136"/>
      <c r="K214" s="136"/>
      <c r="L214" s="136"/>
      <c r="M214" s="136"/>
      <c r="N214" s="136"/>
      <c r="O214" s="302"/>
      <c r="P214" s="136"/>
      <c r="Q214" s="136"/>
      <c r="R214" s="136"/>
      <c r="S214" s="136"/>
      <c r="T214" s="136"/>
      <c r="U214" s="136"/>
      <c r="V214" s="136"/>
      <c r="W214" s="311"/>
      <c r="X214" s="55"/>
      <c r="Y214" s="55"/>
      <c r="Z214" s="55"/>
    </row>
    <row r="215" spans="2:26" ht="13.5" customHeight="1">
      <c r="B215" s="136"/>
      <c r="C215" s="136"/>
      <c r="D215" s="136"/>
      <c r="E215" s="302"/>
      <c r="F215" s="136"/>
      <c r="G215" s="136"/>
      <c r="H215" s="136"/>
      <c r="I215" s="136"/>
      <c r="J215" s="136"/>
      <c r="K215" s="136"/>
      <c r="L215" s="136"/>
      <c r="M215" s="136"/>
      <c r="N215" s="136"/>
      <c r="O215" s="302"/>
      <c r="P215" s="136"/>
      <c r="Q215" s="136"/>
      <c r="R215" s="136"/>
      <c r="S215" s="136"/>
      <c r="T215" s="136"/>
      <c r="U215" s="136"/>
      <c r="V215" s="136"/>
      <c r="W215" s="311"/>
      <c r="X215" s="55"/>
      <c r="Y215" s="55"/>
      <c r="Z215" s="55"/>
    </row>
    <row r="216" spans="2:26" ht="13.5" customHeight="1">
      <c r="B216" s="136"/>
      <c r="C216" s="136"/>
      <c r="D216" s="136"/>
      <c r="E216" s="302"/>
      <c r="F216" s="136"/>
      <c r="G216" s="136"/>
      <c r="H216" s="136"/>
      <c r="I216" s="136"/>
      <c r="J216" s="136"/>
      <c r="K216" s="136"/>
      <c r="L216" s="136"/>
      <c r="M216" s="136"/>
      <c r="N216" s="136"/>
      <c r="O216" s="302"/>
      <c r="P216" s="136"/>
      <c r="Q216" s="136"/>
      <c r="R216" s="136"/>
      <c r="S216" s="136"/>
      <c r="T216" s="136"/>
      <c r="U216" s="136"/>
      <c r="V216" s="136"/>
      <c r="W216" s="311"/>
      <c r="X216" s="55"/>
      <c r="Y216" s="55"/>
      <c r="Z216" s="55"/>
    </row>
    <row r="217" spans="2:26" ht="13.5" customHeight="1">
      <c r="B217" s="136"/>
      <c r="C217" s="136"/>
      <c r="D217" s="136"/>
      <c r="E217" s="302"/>
      <c r="F217" s="136"/>
      <c r="G217" s="136"/>
      <c r="H217" s="136"/>
      <c r="I217" s="136"/>
      <c r="J217" s="136"/>
      <c r="K217" s="136"/>
      <c r="L217" s="136"/>
      <c r="M217" s="136"/>
      <c r="N217" s="136"/>
      <c r="O217" s="302"/>
      <c r="P217" s="136"/>
      <c r="Q217" s="136"/>
      <c r="R217" s="136"/>
      <c r="S217" s="136"/>
      <c r="T217" s="136"/>
      <c r="U217" s="136"/>
      <c r="V217" s="136"/>
      <c r="W217" s="311"/>
      <c r="X217" s="55"/>
      <c r="Y217" s="55"/>
      <c r="Z217" s="55"/>
    </row>
    <row r="218" spans="2:26" ht="13.5" customHeight="1">
      <c r="B218" s="136"/>
      <c r="C218" s="136"/>
      <c r="D218" s="136"/>
      <c r="E218" s="302"/>
      <c r="F218" s="136"/>
      <c r="G218" s="136"/>
      <c r="H218" s="136"/>
      <c r="I218" s="136"/>
      <c r="J218" s="136"/>
      <c r="K218" s="136"/>
      <c r="L218" s="136"/>
      <c r="M218" s="136"/>
      <c r="N218" s="136"/>
      <c r="O218" s="302"/>
      <c r="P218" s="136"/>
      <c r="Q218" s="136"/>
      <c r="R218" s="136"/>
      <c r="S218" s="136"/>
      <c r="T218" s="136"/>
      <c r="U218" s="136"/>
      <c r="V218" s="136"/>
      <c r="W218" s="311"/>
      <c r="X218" s="55"/>
      <c r="Y218" s="55"/>
      <c r="Z218" s="55"/>
    </row>
    <row r="219" spans="2:26" ht="13.5" customHeight="1">
      <c r="B219" s="136"/>
      <c r="C219" s="136"/>
      <c r="D219" s="136"/>
      <c r="E219" s="302"/>
      <c r="F219" s="136"/>
      <c r="G219" s="136"/>
      <c r="H219" s="136"/>
      <c r="I219" s="136"/>
      <c r="J219" s="136"/>
      <c r="K219" s="136"/>
      <c r="L219" s="136"/>
      <c r="M219" s="136"/>
      <c r="N219" s="136"/>
      <c r="O219" s="302"/>
      <c r="P219" s="136"/>
      <c r="Q219" s="136"/>
      <c r="R219" s="136"/>
      <c r="S219" s="136"/>
      <c r="T219" s="136"/>
      <c r="U219" s="136"/>
      <c r="V219" s="136"/>
      <c r="W219" s="311"/>
      <c r="X219" s="55"/>
      <c r="Y219" s="55"/>
      <c r="Z219" s="55"/>
    </row>
    <row r="220" spans="2:26" ht="13.5" customHeight="1">
      <c r="B220" s="136"/>
      <c r="C220" s="136"/>
      <c r="D220" s="136"/>
      <c r="E220" s="302"/>
      <c r="F220" s="136"/>
      <c r="G220" s="136"/>
      <c r="H220" s="136"/>
      <c r="I220" s="136"/>
      <c r="J220" s="136"/>
      <c r="K220" s="136"/>
      <c r="L220" s="136"/>
      <c r="M220" s="136"/>
      <c r="N220" s="136"/>
      <c r="O220" s="302"/>
      <c r="P220" s="136"/>
      <c r="Q220" s="136"/>
      <c r="R220" s="136"/>
      <c r="S220" s="136"/>
      <c r="T220" s="136"/>
      <c r="U220" s="136"/>
      <c r="V220" s="136"/>
      <c r="W220" s="336" t="s">
        <v>112</v>
      </c>
      <c r="X220" s="55"/>
      <c r="Y220" s="55"/>
      <c r="Z220" s="55"/>
    </row>
    <row r="221" spans="2:26" ht="13.5" customHeight="1">
      <c r="B221" s="136"/>
      <c r="C221" s="136"/>
      <c r="D221" s="136"/>
      <c r="E221" s="302"/>
      <c r="F221" s="136"/>
      <c r="G221" s="136"/>
      <c r="H221" s="136"/>
      <c r="I221" s="136"/>
      <c r="J221" s="136"/>
      <c r="K221" s="136"/>
      <c r="L221" s="136"/>
      <c r="M221" s="136"/>
      <c r="N221" s="136"/>
      <c r="O221" s="302"/>
      <c r="P221" s="136"/>
      <c r="Q221" s="136"/>
      <c r="R221" s="136"/>
      <c r="S221" s="136"/>
      <c r="T221" s="136"/>
      <c r="U221" s="136"/>
      <c r="V221" s="136"/>
      <c r="W221" s="311"/>
      <c r="X221" s="55"/>
      <c r="Y221" s="55"/>
      <c r="Z221" s="55"/>
    </row>
    <row r="222" spans="2:26" ht="13.5" customHeight="1">
      <c r="B222" s="136"/>
      <c r="C222" s="136"/>
      <c r="D222" s="136"/>
      <c r="E222" s="302"/>
      <c r="F222" s="136"/>
      <c r="G222" s="136"/>
      <c r="H222" s="136"/>
      <c r="I222" s="136"/>
      <c r="J222" s="136"/>
      <c r="K222" s="136"/>
      <c r="L222" s="136"/>
      <c r="M222" s="136"/>
      <c r="N222" s="136"/>
      <c r="O222" s="302"/>
      <c r="P222" s="136"/>
      <c r="Q222" s="136"/>
      <c r="R222" s="136"/>
      <c r="S222" s="136"/>
      <c r="T222" s="136"/>
      <c r="U222" s="136"/>
      <c r="V222" s="136"/>
      <c r="W222" s="311"/>
      <c r="X222" s="55"/>
      <c r="Y222" s="55"/>
      <c r="Z222" s="55"/>
    </row>
    <row r="223" spans="2:26" ht="13.5" customHeight="1">
      <c r="B223" s="136"/>
      <c r="C223" s="136"/>
      <c r="D223" s="136"/>
      <c r="E223" s="302"/>
      <c r="F223" s="136"/>
      <c r="G223" s="136"/>
      <c r="H223" s="136"/>
      <c r="I223" s="136"/>
      <c r="J223" s="136"/>
      <c r="K223" s="136"/>
      <c r="L223" s="136"/>
      <c r="M223" s="136"/>
      <c r="N223" s="136"/>
      <c r="O223" s="302"/>
      <c r="P223" s="136"/>
      <c r="Q223" s="136"/>
      <c r="R223" s="136"/>
      <c r="S223" s="136"/>
      <c r="T223" s="136"/>
      <c r="U223" s="136"/>
      <c r="V223" s="136"/>
      <c r="W223" s="336" t="s">
        <v>1305</v>
      </c>
      <c r="X223" s="55"/>
      <c r="Y223" s="55"/>
      <c r="Z223" s="55"/>
    </row>
    <row r="224" spans="1:26" ht="13.5" customHeight="1">
      <c r="A224" s="564"/>
      <c r="B224" s="492" t="s">
        <v>960</v>
      </c>
      <c r="C224" s="1071" t="s">
        <v>961</v>
      </c>
      <c r="D224" s="1071"/>
      <c r="E224" s="565" t="s">
        <v>962</v>
      </c>
      <c r="F224" s="492" t="s">
        <v>963</v>
      </c>
      <c r="G224" s="492" t="s">
        <v>964</v>
      </c>
      <c r="H224" s="492" t="s">
        <v>965</v>
      </c>
      <c r="I224" s="492" t="s">
        <v>966</v>
      </c>
      <c r="J224" s="492" t="s">
        <v>967</v>
      </c>
      <c r="K224" s="492" t="s">
        <v>968</v>
      </c>
      <c r="L224" s="492" t="s">
        <v>969</v>
      </c>
      <c r="M224" s="492" t="s">
        <v>970</v>
      </c>
      <c r="N224" s="492" t="s">
        <v>971</v>
      </c>
      <c r="O224" s="492" t="s">
        <v>972</v>
      </c>
      <c r="P224" s="492" t="s">
        <v>973</v>
      </c>
      <c r="Q224" s="492" t="s">
        <v>1480</v>
      </c>
      <c r="R224" s="492" t="s">
        <v>1481</v>
      </c>
      <c r="S224" s="492" t="s">
        <v>1482</v>
      </c>
      <c r="T224" s="492" t="s">
        <v>1483</v>
      </c>
      <c r="U224" s="492" t="s">
        <v>1484</v>
      </c>
      <c r="V224" s="492" t="s">
        <v>1486</v>
      </c>
      <c r="W224" s="564" t="s">
        <v>1487</v>
      </c>
      <c r="X224" s="55"/>
      <c r="Y224" s="55"/>
      <c r="Z224" s="55"/>
    </row>
    <row r="225" spans="1:26" ht="13.5" customHeight="1">
      <c r="A225" s="560" t="s">
        <v>1159</v>
      </c>
      <c r="B225" s="540" t="s">
        <v>1631</v>
      </c>
      <c r="C225" s="259" t="s">
        <v>1083</v>
      </c>
      <c r="D225" s="259"/>
      <c r="E225" s="271" t="s">
        <v>1405</v>
      </c>
      <c r="F225" s="259" t="s">
        <v>1493</v>
      </c>
      <c r="G225" s="259"/>
      <c r="H225" s="259"/>
      <c r="I225" s="259"/>
      <c r="J225" s="259"/>
      <c r="K225" s="259"/>
      <c r="L225" s="259"/>
      <c r="M225" s="259"/>
      <c r="N225" s="259"/>
      <c r="O225" s="271" t="s">
        <v>1405</v>
      </c>
      <c r="P225" s="259" t="s">
        <v>1494</v>
      </c>
      <c r="Q225" s="259"/>
      <c r="R225" s="259"/>
      <c r="S225" s="259"/>
      <c r="T225" s="259"/>
      <c r="U225" s="259"/>
      <c r="V225" s="259"/>
      <c r="W225" s="541"/>
      <c r="X225" s="55"/>
      <c r="Y225" s="55"/>
      <c r="Z225" s="55"/>
    </row>
    <row r="226" spans="1:26" ht="13.5" customHeight="1">
      <c r="A226" s="546"/>
      <c r="B226" s="279" t="s">
        <v>1632</v>
      </c>
      <c r="C226" s="136"/>
      <c r="D226" s="136"/>
      <c r="E226" s="275" t="s">
        <v>1407</v>
      </c>
      <c r="F226" s="277"/>
      <c r="G226" s="277"/>
      <c r="H226" s="277"/>
      <c r="I226" s="277"/>
      <c r="J226" s="277"/>
      <c r="K226" s="277"/>
      <c r="L226" s="277"/>
      <c r="M226" s="277"/>
      <c r="N226" s="136"/>
      <c r="O226" s="275" t="s">
        <v>1409</v>
      </c>
      <c r="P226" s="277"/>
      <c r="Q226" s="277"/>
      <c r="R226" s="277"/>
      <c r="S226" s="277"/>
      <c r="T226" s="277"/>
      <c r="U226" s="277"/>
      <c r="V226" s="136"/>
      <c r="W226" s="558"/>
      <c r="X226" s="55"/>
      <c r="Y226" s="55"/>
      <c r="Z226" s="55"/>
    </row>
    <row r="227" spans="1:26" ht="13.5" customHeight="1">
      <c r="A227" s="546"/>
      <c r="B227" s="279"/>
      <c r="C227" s="136"/>
      <c r="D227" s="136"/>
      <c r="E227" s="275" t="s">
        <v>1404</v>
      </c>
      <c r="F227" s="136" t="s">
        <v>1495</v>
      </c>
      <c r="G227" s="542" t="s">
        <v>1496</v>
      </c>
      <c r="H227" s="542" t="s">
        <v>1496</v>
      </c>
      <c r="I227" s="542" t="s">
        <v>1498</v>
      </c>
      <c r="J227" s="542" t="s">
        <v>1499</v>
      </c>
      <c r="K227" s="542" t="s">
        <v>1500</v>
      </c>
      <c r="L227" s="542" t="s">
        <v>1501</v>
      </c>
      <c r="M227" s="542" t="s">
        <v>1500</v>
      </c>
      <c r="N227" s="286" t="s">
        <v>1504</v>
      </c>
      <c r="O227" s="275" t="s">
        <v>1404</v>
      </c>
      <c r="P227" s="136" t="s">
        <v>1505</v>
      </c>
      <c r="Q227" s="542" t="s">
        <v>1506</v>
      </c>
      <c r="R227" s="542" t="s">
        <v>1507</v>
      </c>
      <c r="S227" s="542" t="s">
        <v>1508</v>
      </c>
      <c r="T227" s="542" t="s">
        <v>1500</v>
      </c>
      <c r="U227" s="542" t="s">
        <v>1633</v>
      </c>
      <c r="V227" s="237" t="s">
        <v>1511</v>
      </c>
      <c r="W227" s="21" t="s">
        <v>1634</v>
      </c>
      <c r="X227" s="55"/>
      <c r="Y227" s="55"/>
      <c r="Z227" s="55"/>
    </row>
    <row r="228" spans="1:26" ht="13.5" customHeight="1">
      <c r="A228" s="546"/>
      <c r="B228" s="279"/>
      <c r="C228" s="136"/>
      <c r="D228" s="136"/>
      <c r="E228" s="275"/>
      <c r="F228" s="136" t="s">
        <v>1512</v>
      </c>
      <c r="G228" s="49" t="s">
        <v>1513</v>
      </c>
      <c r="H228" s="49" t="s">
        <v>1513</v>
      </c>
      <c r="I228" s="49" t="s">
        <v>1515</v>
      </c>
      <c r="J228" s="49" t="s">
        <v>1516</v>
      </c>
      <c r="K228" s="49" t="s">
        <v>1517</v>
      </c>
      <c r="L228" s="49" t="s">
        <v>1518</v>
      </c>
      <c r="M228" s="49" t="s">
        <v>1517</v>
      </c>
      <c r="N228" s="280" t="s">
        <v>1521</v>
      </c>
      <c r="O228" s="275"/>
      <c r="P228" s="136" t="s">
        <v>1522</v>
      </c>
      <c r="Q228" s="49" t="s">
        <v>1523</v>
      </c>
      <c r="R228" s="49" t="s">
        <v>1409</v>
      </c>
      <c r="S228" s="49" t="s">
        <v>1524</v>
      </c>
      <c r="T228" s="49" t="s">
        <v>1517</v>
      </c>
      <c r="U228" s="49" t="s">
        <v>1635</v>
      </c>
      <c r="V228" s="56" t="s">
        <v>1527</v>
      </c>
      <c r="W228" s="34" t="s">
        <v>1529</v>
      </c>
      <c r="X228" s="55"/>
      <c r="Y228" s="55"/>
      <c r="Z228" s="55"/>
    </row>
    <row r="229" spans="1:26" ht="13.5" customHeight="1">
      <c r="A229" s="546"/>
      <c r="B229" s="279"/>
      <c r="C229" s="136"/>
      <c r="D229" s="136"/>
      <c r="E229" s="275"/>
      <c r="F229" s="136" t="s">
        <v>1530</v>
      </c>
      <c r="G229" s="49" t="s">
        <v>1531</v>
      </c>
      <c r="H229" s="49" t="s">
        <v>1533</v>
      </c>
      <c r="I229" s="49" t="s">
        <v>1534</v>
      </c>
      <c r="J229" s="49" t="s">
        <v>1534</v>
      </c>
      <c r="K229" s="49" t="s">
        <v>1535</v>
      </c>
      <c r="L229" s="49" t="s">
        <v>1536</v>
      </c>
      <c r="M229" s="49" t="s">
        <v>1535</v>
      </c>
      <c r="N229" s="280" t="s">
        <v>1538</v>
      </c>
      <c r="O229" s="275"/>
      <c r="P229" s="136" t="s">
        <v>1539</v>
      </c>
      <c r="Q229" s="49" t="s">
        <v>1540</v>
      </c>
      <c r="R229" s="49"/>
      <c r="S229" s="49" t="s">
        <v>1541</v>
      </c>
      <c r="T229" s="49" t="s">
        <v>1535</v>
      </c>
      <c r="U229" s="49"/>
      <c r="V229" s="56"/>
      <c r="W229" s="34" t="s">
        <v>1543</v>
      </c>
      <c r="X229" s="55"/>
      <c r="Y229" s="55"/>
      <c r="Z229" s="55"/>
    </row>
    <row r="230" spans="1:26" ht="13.5" customHeight="1">
      <c r="A230" s="546"/>
      <c r="B230" s="279"/>
      <c r="C230" s="136"/>
      <c r="D230" s="136"/>
      <c r="E230" s="275"/>
      <c r="F230" s="136" t="s">
        <v>1407</v>
      </c>
      <c r="G230" s="49" t="s">
        <v>1544</v>
      </c>
      <c r="H230" s="49" t="s">
        <v>1546</v>
      </c>
      <c r="I230" s="49" t="s">
        <v>1547</v>
      </c>
      <c r="J230" s="49" t="s">
        <v>1547</v>
      </c>
      <c r="K230" s="49" t="s">
        <v>1548</v>
      </c>
      <c r="L230" s="49"/>
      <c r="M230" s="49" t="s">
        <v>1549</v>
      </c>
      <c r="N230" s="280" t="s">
        <v>1551</v>
      </c>
      <c r="O230" s="275"/>
      <c r="P230" s="136"/>
      <c r="Q230" s="49" t="s">
        <v>1552</v>
      </c>
      <c r="R230" s="49"/>
      <c r="S230" s="49" t="s">
        <v>1553</v>
      </c>
      <c r="T230" s="49" t="s">
        <v>1554</v>
      </c>
      <c r="U230" s="49"/>
      <c r="V230" s="56"/>
      <c r="W230" s="34" t="s">
        <v>1557</v>
      </c>
      <c r="X230" s="55"/>
      <c r="Y230" s="55"/>
      <c r="Z230" s="55"/>
    </row>
    <row r="231" spans="1:26" ht="13.5" customHeight="1">
      <c r="A231" s="546"/>
      <c r="B231" s="279"/>
      <c r="C231" s="136"/>
      <c r="D231" s="136"/>
      <c r="E231" s="275"/>
      <c r="F231" s="136"/>
      <c r="G231" s="49" t="s">
        <v>1558</v>
      </c>
      <c r="H231" s="49" t="s">
        <v>1560</v>
      </c>
      <c r="I231" s="49" t="s">
        <v>1561</v>
      </c>
      <c r="J231" s="49" t="s">
        <v>1561</v>
      </c>
      <c r="K231" s="49"/>
      <c r="L231" s="49"/>
      <c r="M231" s="49" t="s">
        <v>1562</v>
      </c>
      <c r="N231" s="136"/>
      <c r="O231" s="275"/>
      <c r="P231" s="136"/>
      <c r="Q231" s="49"/>
      <c r="R231" s="49"/>
      <c r="S231" s="49" t="s">
        <v>1563</v>
      </c>
      <c r="T231" s="49"/>
      <c r="U231" s="49"/>
      <c r="V231" s="56"/>
      <c r="W231" s="34" t="s">
        <v>1565</v>
      </c>
      <c r="X231" s="55"/>
      <c r="Y231" s="55"/>
      <c r="Z231" s="55"/>
    </row>
    <row r="232" spans="1:26" ht="13.5" customHeight="1">
      <c r="A232" s="561"/>
      <c r="B232" s="284"/>
      <c r="C232" s="277"/>
      <c r="D232" s="277"/>
      <c r="E232" s="282"/>
      <c r="F232" s="277"/>
      <c r="G232" s="439" t="s">
        <v>1566</v>
      </c>
      <c r="H232" s="439" t="s">
        <v>1567</v>
      </c>
      <c r="I232" s="439"/>
      <c r="J232" s="439"/>
      <c r="K232" s="439"/>
      <c r="L232" s="439"/>
      <c r="M232" s="439" t="s">
        <v>1636</v>
      </c>
      <c r="N232" s="277"/>
      <c r="O232" s="282"/>
      <c r="P232" s="277"/>
      <c r="Q232" s="439"/>
      <c r="R232" s="439"/>
      <c r="S232" s="439"/>
      <c r="T232" s="439"/>
      <c r="U232" s="439"/>
      <c r="V232" s="544"/>
      <c r="W232" s="545"/>
      <c r="X232" s="55"/>
      <c r="Y232" s="55"/>
      <c r="Z232" s="55"/>
    </row>
    <row r="233" spans="1:26" ht="13.5" customHeight="1">
      <c r="A233" s="546" t="s">
        <v>1351</v>
      </c>
      <c r="B233" s="136" t="s">
        <v>113</v>
      </c>
      <c r="C233" s="237" t="s">
        <v>114</v>
      </c>
      <c r="D233" s="136"/>
      <c r="E233" s="275"/>
      <c r="F233" s="136"/>
      <c r="G233" s="49"/>
      <c r="H233" s="49"/>
      <c r="I233" s="49"/>
      <c r="J233" s="49"/>
      <c r="K233" s="49"/>
      <c r="L233" s="49"/>
      <c r="M233" s="56"/>
      <c r="N233" s="286"/>
      <c r="O233" s="275"/>
      <c r="P233" s="136"/>
      <c r="Q233" s="49"/>
      <c r="R233" s="49"/>
      <c r="S233" s="49"/>
      <c r="T233" s="49"/>
      <c r="U233" s="49"/>
      <c r="V233" s="56"/>
      <c r="W233" s="246"/>
      <c r="X233" s="55"/>
      <c r="Y233" s="55"/>
      <c r="Z233" s="55"/>
    </row>
    <row r="234" spans="1:26" ht="13.5" customHeight="1">
      <c r="A234" s="548" t="s">
        <v>108</v>
      </c>
      <c r="C234" s="212"/>
      <c r="D234" s="136" t="s">
        <v>1084</v>
      </c>
      <c r="E234" s="275">
        <f>SUM(F234:N234)</f>
        <v>0</v>
      </c>
      <c r="F234" s="279"/>
      <c r="G234" s="49"/>
      <c r="H234" s="49"/>
      <c r="I234" s="49"/>
      <c r="J234" s="49"/>
      <c r="K234" s="49"/>
      <c r="L234" s="49"/>
      <c r="M234" s="56"/>
      <c r="N234" s="280"/>
      <c r="O234" s="275">
        <f>SUM(P234:V234)</f>
        <v>20723</v>
      </c>
      <c r="P234" s="279">
        <v>8443</v>
      </c>
      <c r="Q234" s="49">
        <v>2280</v>
      </c>
      <c r="R234" s="49">
        <v>10000</v>
      </c>
      <c r="S234" s="49"/>
      <c r="T234" s="49"/>
      <c r="U234" s="49"/>
      <c r="V234" s="56"/>
      <c r="W234" s="246"/>
      <c r="X234" s="55"/>
      <c r="Y234" s="55"/>
      <c r="Z234" s="55"/>
    </row>
    <row r="235" spans="1:26" ht="13.5" customHeight="1">
      <c r="A235" s="548" t="s">
        <v>109</v>
      </c>
      <c r="B235" s="136"/>
      <c r="C235" s="56"/>
      <c r="D235" s="136" t="s">
        <v>978</v>
      </c>
      <c r="E235" s="275">
        <f>SUM(F235:N235)</f>
        <v>3013</v>
      </c>
      <c r="F235" s="136"/>
      <c r="G235" s="49"/>
      <c r="H235" s="49"/>
      <c r="I235" s="49"/>
      <c r="J235" s="279">
        <v>3013</v>
      </c>
      <c r="K235" s="279"/>
      <c r="L235" s="49"/>
      <c r="M235" s="56"/>
      <c r="N235" s="280"/>
      <c r="O235" s="275">
        <f>SUM(P235:V235)</f>
        <v>209987</v>
      </c>
      <c r="P235" s="136">
        <v>175774</v>
      </c>
      <c r="Q235" s="49">
        <v>24213</v>
      </c>
      <c r="R235" s="49">
        <v>10000</v>
      </c>
      <c r="S235" s="49"/>
      <c r="T235" s="49"/>
      <c r="U235" s="49"/>
      <c r="V235" s="136"/>
      <c r="W235" s="246"/>
      <c r="X235" s="55"/>
      <c r="Y235" s="55"/>
      <c r="Z235" s="55"/>
    </row>
    <row r="236" spans="1:26" ht="13.5" customHeight="1">
      <c r="A236" s="548" t="s">
        <v>110</v>
      </c>
      <c r="B236" s="136"/>
      <c r="C236" s="56"/>
      <c r="D236" s="136" t="s">
        <v>979</v>
      </c>
      <c r="E236" s="275">
        <f>SUM(F236:N236)</f>
        <v>2389</v>
      </c>
      <c r="F236" s="136"/>
      <c r="G236" s="49"/>
      <c r="H236" s="49"/>
      <c r="I236" s="49"/>
      <c r="J236" s="279">
        <v>2389</v>
      </c>
      <c r="K236" s="279"/>
      <c r="L236" s="49"/>
      <c r="M236" s="56"/>
      <c r="N236" s="280"/>
      <c r="O236" s="294">
        <f>SUM(P236:V236)</f>
        <v>199122</v>
      </c>
      <c r="P236" s="136">
        <v>168744</v>
      </c>
      <c r="Q236" s="49">
        <v>21215</v>
      </c>
      <c r="R236" s="49">
        <v>9163</v>
      </c>
      <c r="S236" s="49"/>
      <c r="T236" s="49"/>
      <c r="U236" s="49"/>
      <c r="V236" s="136"/>
      <c r="W236" s="246"/>
      <c r="X236" s="55"/>
      <c r="Y236" s="55"/>
      <c r="Z236" s="55"/>
    </row>
    <row r="237" spans="1:26" ht="13.5" customHeight="1">
      <c r="A237" s="548" t="s">
        <v>111</v>
      </c>
      <c r="B237" s="136"/>
      <c r="C237" s="56"/>
      <c r="D237" s="136" t="s">
        <v>1414</v>
      </c>
      <c r="E237" s="289">
        <f>ROUND(100*E236/E235,1)</f>
        <v>79.3</v>
      </c>
      <c r="F237" s="136">
        <f aca="true" t="shared" si="24" ref="F237:V237">SUM(F235:F236)</f>
        <v>0</v>
      </c>
      <c r="G237" s="49">
        <f t="shared" si="24"/>
        <v>0</v>
      </c>
      <c r="H237" s="49">
        <f t="shared" si="24"/>
        <v>0</v>
      </c>
      <c r="I237" s="49">
        <f t="shared" si="24"/>
        <v>0</v>
      </c>
      <c r="J237" s="392">
        <f>ROUND(100*J236/J235,1)</f>
        <v>79.3</v>
      </c>
      <c r="K237" s="279"/>
      <c r="L237" s="49">
        <f t="shared" si="24"/>
        <v>0</v>
      </c>
      <c r="M237" s="56">
        <f t="shared" si="24"/>
        <v>0</v>
      </c>
      <c r="N237" s="280">
        <f t="shared" si="24"/>
        <v>0</v>
      </c>
      <c r="O237" s="289">
        <f>ROUND(100*O236/O235,1)</f>
        <v>94.8</v>
      </c>
      <c r="P237" s="394">
        <f>ROUND(100*P236/P235,1)</f>
        <v>96</v>
      </c>
      <c r="Q237" s="50">
        <f>ROUND(100*Q236/Q235,1)</f>
        <v>87.6</v>
      </c>
      <c r="R237" s="50">
        <f>ROUND(100*R236/R235,1)</f>
        <v>91.6</v>
      </c>
      <c r="S237" s="49">
        <f t="shared" si="24"/>
        <v>0</v>
      </c>
      <c r="T237" s="49"/>
      <c r="U237" s="49">
        <f t="shared" si="24"/>
        <v>0</v>
      </c>
      <c r="V237" s="136">
        <f t="shared" si="24"/>
        <v>0</v>
      </c>
      <c r="W237" s="246"/>
      <c r="X237" s="55"/>
      <c r="Y237" s="55"/>
      <c r="Z237" s="55"/>
    </row>
    <row r="238" spans="1:26" ht="13.5" customHeight="1">
      <c r="A238" s="546" t="s">
        <v>1353</v>
      </c>
      <c r="B238" s="136" t="s">
        <v>115</v>
      </c>
      <c r="C238" s="56" t="s">
        <v>116</v>
      </c>
      <c r="D238" s="287"/>
      <c r="E238" s="275"/>
      <c r="F238" s="136"/>
      <c r="G238" s="49"/>
      <c r="H238" s="49"/>
      <c r="I238" s="49"/>
      <c r="J238" s="49"/>
      <c r="K238" s="49"/>
      <c r="L238" s="49"/>
      <c r="M238" s="49"/>
      <c r="N238" s="280"/>
      <c r="O238" s="136"/>
      <c r="P238" s="281"/>
      <c r="Q238" s="49"/>
      <c r="R238" s="49"/>
      <c r="S238" s="49"/>
      <c r="T238" s="49"/>
      <c r="U238" s="49"/>
      <c r="V238" s="49"/>
      <c r="W238" s="246"/>
      <c r="X238" s="55"/>
      <c r="Y238" s="55"/>
      <c r="Z238" s="55"/>
    </row>
    <row r="239" spans="1:26" ht="13.5" customHeight="1">
      <c r="A239" s="548" t="s">
        <v>117</v>
      </c>
      <c r="C239" s="212"/>
      <c r="D239" s="136" t="s">
        <v>1084</v>
      </c>
      <c r="E239" s="275"/>
      <c r="F239" s="136"/>
      <c r="G239" s="49"/>
      <c r="H239" s="49"/>
      <c r="I239" s="49"/>
      <c r="J239" s="49"/>
      <c r="K239" s="49"/>
      <c r="L239" s="49"/>
      <c r="M239" s="49"/>
      <c r="N239" s="280"/>
      <c r="O239" s="136"/>
      <c r="P239" s="281"/>
      <c r="Q239" s="49"/>
      <c r="R239" s="49"/>
      <c r="S239" s="49"/>
      <c r="T239" s="49"/>
      <c r="U239" s="49"/>
      <c r="V239" s="49"/>
      <c r="W239" s="246"/>
      <c r="X239" s="55"/>
      <c r="Y239" s="55"/>
      <c r="Z239" s="55"/>
    </row>
    <row r="240" spans="1:26" ht="13.5" customHeight="1">
      <c r="A240" s="548" t="s">
        <v>118</v>
      </c>
      <c r="B240" s="136"/>
      <c r="C240" s="56"/>
      <c r="D240" s="136" t="s">
        <v>978</v>
      </c>
      <c r="E240" s="275"/>
      <c r="F240" s="136"/>
      <c r="G240" s="49"/>
      <c r="H240" s="49"/>
      <c r="I240" s="49"/>
      <c r="J240" s="49"/>
      <c r="K240" s="49"/>
      <c r="L240" s="49"/>
      <c r="M240" s="49"/>
      <c r="N240" s="280"/>
      <c r="O240" s="136"/>
      <c r="P240" s="281"/>
      <c r="Q240" s="49"/>
      <c r="R240" s="49"/>
      <c r="S240" s="49"/>
      <c r="T240" s="49"/>
      <c r="U240" s="49"/>
      <c r="V240" s="49"/>
      <c r="W240" s="246"/>
      <c r="X240" s="55"/>
      <c r="Y240" s="55"/>
      <c r="Z240" s="55"/>
    </row>
    <row r="241" spans="1:26" ht="13.5" customHeight="1">
      <c r="A241" s="548" t="s">
        <v>119</v>
      </c>
      <c r="B241" s="136"/>
      <c r="C241" s="56"/>
      <c r="D241" s="136" t="s">
        <v>979</v>
      </c>
      <c r="E241" s="275"/>
      <c r="F241" s="136"/>
      <c r="G241" s="49"/>
      <c r="H241" s="49"/>
      <c r="I241" s="49"/>
      <c r="J241" s="49"/>
      <c r="K241" s="49"/>
      <c r="L241" s="49"/>
      <c r="M241" s="49"/>
      <c r="N241" s="280"/>
      <c r="O241" s="136">
        <f>SUM(P241:V241)</f>
        <v>2</v>
      </c>
      <c r="P241" s="281"/>
      <c r="Q241" s="49"/>
      <c r="R241" s="49">
        <v>2</v>
      </c>
      <c r="S241" s="49"/>
      <c r="T241" s="49"/>
      <c r="U241" s="49"/>
      <c r="V241" s="49"/>
      <c r="W241" s="246"/>
      <c r="X241" s="55"/>
      <c r="Y241" s="55"/>
      <c r="Z241" s="55"/>
    </row>
    <row r="242" spans="1:26" ht="13.5" customHeight="1">
      <c r="A242" s="548" t="s">
        <v>120</v>
      </c>
      <c r="B242" s="136"/>
      <c r="C242" s="56"/>
      <c r="D242" s="136" t="s">
        <v>1414</v>
      </c>
      <c r="E242" s="275"/>
      <c r="F242" s="136"/>
      <c r="G242" s="49"/>
      <c r="H242" s="49"/>
      <c r="I242" s="49"/>
      <c r="J242" s="49"/>
      <c r="K242" s="49"/>
      <c r="L242" s="49"/>
      <c r="M242" s="49"/>
      <c r="N242" s="280"/>
      <c r="O242" s="136"/>
      <c r="P242" s="281"/>
      <c r="Q242" s="49"/>
      <c r="R242" s="49"/>
      <c r="S242" s="49"/>
      <c r="T242" s="49"/>
      <c r="U242" s="49"/>
      <c r="V242" s="49"/>
      <c r="W242" s="246"/>
      <c r="X242" s="55"/>
      <c r="Y242" s="55"/>
      <c r="Z242" s="55"/>
    </row>
    <row r="243" spans="1:26" ht="13.5" customHeight="1">
      <c r="A243" s="546" t="s">
        <v>1355</v>
      </c>
      <c r="B243" s="566" t="s">
        <v>121</v>
      </c>
      <c r="C243" s="56" t="s">
        <v>122</v>
      </c>
      <c r="D243" s="287"/>
      <c r="E243" s="275"/>
      <c r="F243" s="136"/>
      <c r="G243" s="49"/>
      <c r="H243" s="49"/>
      <c r="I243" s="49"/>
      <c r="J243" s="49"/>
      <c r="K243" s="49"/>
      <c r="L243" s="49"/>
      <c r="M243" s="49"/>
      <c r="N243" s="280"/>
      <c r="O243" s="136"/>
      <c r="P243" s="281"/>
      <c r="Q243" s="49"/>
      <c r="R243" s="49"/>
      <c r="S243" s="49"/>
      <c r="T243" s="49"/>
      <c r="U243" s="49"/>
      <c r="V243" s="49"/>
      <c r="W243" s="246"/>
      <c r="X243" s="55"/>
      <c r="Y243" s="55"/>
      <c r="Z243" s="55"/>
    </row>
    <row r="244" spans="1:26" ht="13.5" customHeight="1">
      <c r="A244" s="548" t="s">
        <v>123</v>
      </c>
      <c r="C244" s="212"/>
      <c r="D244" s="136" t="s">
        <v>1084</v>
      </c>
      <c r="E244" s="275">
        <f>SUM(F244:N244)</f>
        <v>3350</v>
      </c>
      <c r="F244" s="136">
        <v>3350</v>
      </c>
      <c r="G244" s="49"/>
      <c r="H244" s="49"/>
      <c r="I244" s="49"/>
      <c r="J244" s="49"/>
      <c r="K244" s="49"/>
      <c r="L244" s="49"/>
      <c r="M244" s="49"/>
      <c r="N244" s="280"/>
      <c r="O244" s="136">
        <f>SUM(P244:V244)</f>
        <v>2707</v>
      </c>
      <c r="P244" s="281">
        <v>1246</v>
      </c>
      <c r="Q244" s="49">
        <v>300</v>
      </c>
      <c r="R244" s="49">
        <v>1161</v>
      </c>
      <c r="S244" s="49"/>
      <c r="T244" s="49"/>
      <c r="U244" s="49"/>
      <c r="V244" s="49"/>
      <c r="W244" s="246"/>
      <c r="X244" s="55"/>
      <c r="Y244" s="55"/>
      <c r="Z244" s="55"/>
    </row>
    <row r="245" spans="1:26" ht="13.5" customHeight="1">
      <c r="A245" s="548" t="s">
        <v>124</v>
      </c>
      <c r="B245" s="566"/>
      <c r="C245" s="56"/>
      <c r="D245" s="287" t="s">
        <v>978</v>
      </c>
      <c r="E245" s="287">
        <f>SUM(F245:N245)</f>
        <v>2441</v>
      </c>
      <c r="F245" s="136">
        <v>2441</v>
      </c>
      <c r="G245" s="49"/>
      <c r="H245" s="49"/>
      <c r="I245" s="49"/>
      <c r="J245" s="279"/>
      <c r="K245" s="279"/>
      <c r="L245" s="49"/>
      <c r="M245" s="56"/>
      <c r="N245" s="280"/>
      <c r="O245" s="274">
        <f>SUM(P245:V245)</f>
        <v>2329</v>
      </c>
      <c r="P245" s="281">
        <v>1300</v>
      </c>
      <c r="Q245" s="49">
        <v>334</v>
      </c>
      <c r="R245" s="49">
        <v>695</v>
      </c>
      <c r="S245" s="49"/>
      <c r="T245" s="49"/>
      <c r="U245" s="49"/>
      <c r="V245" s="49"/>
      <c r="W245" s="246"/>
      <c r="X245" s="55"/>
      <c r="Y245" s="55"/>
      <c r="Z245" s="55"/>
    </row>
    <row r="246" spans="1:26" ht="13.5" customHeight="1">
      <c r="A246" s="548" t="s">
        <v>125</v>
      </c>
      <c r="B246" s="566"/>
      <c r="C246" s="56"/>
      <c r="D246" s="136" t="s">
        <v>979</v>
      </c>
      <c r="E246" s="275">
        <f>SUM(F246:N246)</f>
        <v>2443</v>
      </c>
      <c r="F246" s="136">
        <v>2443</v>
      </c>
      <c r="G246" s="49"/>
      <c r="H246" s="49"/>
      <c r="I246" s="49"/>
      <c r="J246" s="279"/>
      <c r="K246" s="279"/>
      <c r="L246" s="49"/>
      <c r="M246" s="56"/>
      <c r="N246" s="280"/>
      <c r="O246" s="301">
        <f>SUM(P246:V246)</f>
        <v>2329</v>
      </c>
      <c r="P246" s="281">
        <v>1301</v>
      </c>
      <c r="Q246" s="49">
        <v>333</v>
      </c>
      <c r="R246" s="49">
        <v>695</v>
      </c>
      <c r="S246" s="49"/>
      <c r="T246" s="49"/>
      <c r="U246" s="49"/>
      <c r="V246" s="49"/>
      <c r="W246" s="246"/>
      <c r="X246" s="55"/>
      <c r="Y246" s="55"/>
      <c r="Z246" s="55"/>
    </row>
    <row r="247" spans="1:26" ht="13.5" customHeight="1">
      <c r="A247" s="548" t="s">
        <v>126</v>
      </c>
      <c r="B247" s="566"/>
      <c r="C247" s="56"/>
      <c r="D247" s="136" t="s">
        <v>1414</v>
      </c>
      <c r="E247" s="289">
        <f>ROUND(100*E246/E245,1)</f>
        <v>100.1</v>
      </c>
      <c r="F247" s="394">
        <f>ROUND(100*F246/F245,1)</f>
        <v>100.1</v>
      </c>
      <c r="G247" s="49">
        <f aca="true" t="shared" si="25" ref="G247:V247">SUM(G245:G246)</f>
        <v>0</v>
      </c>
      <c r="H247" s="49">
        <f t="shared" si="25"/>
        <v>0</v>
      </c>
      <c r="I247" s="49">
        <f t="shared" si="25"/>
        <v>0</v>
      </c>
      <c r="J247" s="279">
        <f t="shared" si="25"/>
        <v>0</v>
      </c>
      <c r="K247" s="279"/>
      <c r="L247" s="49">
        <f t="shared" si="25"/>
        <v>0</v>
      </c>
      <c r="M247" s="56">
        <f t="shared" si="25"/>
        <v>0</v>
      </c>
      <c r="N247" s="280">
        <f t="shared" si="25"/>
        <v>0</v>
      </c>
      <c r="O247" s="289">
        <f>ROUND(100*O246/O245,1)</f>
        <v>100</v>
      </c>
      <c r="P247" s="394">
        <f>ROUND(100*P246/P245,1)</f>
        <v>100.1</v>
      </c>
      <c r="Q247" s="50">
        <f>ROUND(100*Q246/Q245,1)</f>
        <v>99.7</v>
      </c>
      <c r="R247" s="50">
        <f>ROUND(100*R246/R245,1)</f>
        <v>100</v>
      </c>
      <c r="S247" s="49">
        <f t="shared" si="25"/>
        <v>0</v>
      </c>
      <c r="T247" s="49"/>
      <c r="U247" s="49">
        <f t="shared" si="25"/>
        <v>0</v>
      </c>
      <c r="V247" s="136">
        <f t="shared" si="25"/>
        <v>0</v>
      </c>
      <c r="W247" s="246"/>
      <c r="X247" s="55"/>
      <c r="Y247" s="55"/>
      <c r="Z247" s="55"/>
    </row>
    <row r="248" spans="1:26" ht="13.5" customHeight="1">
      <c r="A248" s="546" t="s">
        <v>1357</v>
      </c>
      <c r="B248" s="136" t="s">
        <v>127</v>
      </c>
      <c r="C248" s="56" t="s">
        <v>128</v>
      </c>
      <c r="D248" s="287"/>
      <c r="E248" s="275"/>
      <c r="F248" s="136"/>
      <c r="G248" s="49"/>
      <c r="H248" s="49"/>
      <c r="I248" s="49"/>
      <c r="J248" s="279"/>
      <c r="K248" s="279"/>
      <c r="L248" s="49"/>
      <c r="M248" s="56"/>
      <c r="N248" s="280"/>
      <c r="O248" s="275"/>
      <c r="P248" s="136"/>
      <c r="Q248" s="49"/>
      <c r="R248" s="49"/>
      <c r="S248" s="49"/>
      <c r="T248" s="49"/>
      <c r="U248" s="49"/>
      <c r="V248" s="136"/>
      <c r="W248" s="246"/>
      <c r="X248" s="55"/>
      <c r="Y248" s="55"/>
      <c r="Z248" s="55"/>
    </row>
    <row r="249" spans="1:26" ht="13.5" customHeight="1">
      <c r="A249" s="548" t="s">
        <v>129</v>
      </c>
      <c r="C249" s="212"/>
      <c r="D249" s="136" t="s">
        <v>1084</v>
      </c>
      <c r="E249" s="275">
        <f>SUM(F249:N249)</f>
        <v>11710</v>
      </c>
      <c r="F249" s="136">
        <v>11710</v>
      </c>
      <c r="G249" s="49"/>
      <c r="H249" s="49"/>
      <c r="I249" s="49"/>
      <c r="J249" s="279"/>
      <c r="K249" s="279"/>
      <c r="L249" s="49"/>
      <c r="M249" s="56"/>
      <c r="N249" s="280"/>
      <c r="O249" s="275">
        <f>SUM(P249:V249)</f>
        <v>4321</v>
      </c>
      <c r="P249" s="136"/>
      <c r="Q249" s="49"/>
      <c r="R249" s="49">
        <v>4321</v>
      </c>
      <c r="S249" s="49"/>
      <c r="T249" s="49"/>
      <c r="U249" s="49"/>
      <c r="V249" s="136"/>
      <c r="W249" s="246"/>
      <c r="X249" s="55"/>
      <c r="Y249" s="55"/>
      <c r="Z249" s="55"/>
    </row>
    <row r="250" spans="1:26" ht="13.5" customHeight="1">
      <c r="A250" s="548" t="s">
        <v>130</v>
      </c>
      <c r="B250" s="136"/>
      <c r="C250" s="56"/>
      <c r="D250" s="136" t="s">
        <v>978</v>
      </c>
      <c r="E250" s="275">
        <f>SUM(F250:N250)</f>
        <v>9686</v>
      </c>
      <c r="F250" s="136">
        <v>9686</v>
      </c>
      <c r="G250" s="49"/>
      <c r="H250" s="49"/>
      <c r="I250" s="49"/>
      <c r="J250" s="279"/>
      <c r="K250" s="279"/>
      <c r="L250" s="49"/>
      <c r="M250" s="56"/>
      <c r="N250" s="280"/>
      <c r="O250" s="275">
        <f>SUM(P250:V250)</f>
        <v>4863</v>
      </c>
      <c r="P250" s="136"/>
      <c r="Q250" s="49"/>
      <c r="R250" s="49">
        <v>4863</v>
      </c>
      <c r="S250" s="49"/>
      <c r="T250" s="49"/>
      <c r="U250" s="49"/>
      <c r="V250" s="136"/>
      <c r="W250" s="246"/>
      <c r="X250" s="55"/>
      <c r="Y250" s="55"/>
      <c r="Z250" s="55"/>
    </row>
    <row r="251" spans="1:26" ht="13.5" customHeight="1">
      <c r="A251" s="548" t="s">
        <v>131</v>
      </c>
      <c r="B251" s="136"/>
      <c r="C251" s="56"/>
      <c r="D251" s="136" t="s">
        <v>979</v>
      </c>
      <c r="E251" s="275">
        <f>SUM(F251:N251)</f>
        <v>9677</v>
      </c>
      <c r="F251" s="136">
        <v>9677</v>
      </c>
      <c r="G251" s="49"/>
      <c r="H251" s="49"/>
      <c r="I251" s="49"/>
      <c r="J251" s="279"/>
      <c r="K251" s="279"/>
      <c r="L251" s="49"/>
      <c r="M251" s="56"/>
      <c r="N251" s="280"/>
      <c r="O251" s="294">
        <f>SUM(P251:V251)</f>
        <v>5137</v>
      </c>
      <c r="P251" s="136"/>
      <c r="Q251" s="49"/>
      <c r="R251" s="49">
        <v>5137</v>
      </c>
      <c r="S251" s="49"/>
      <c r="T251" s="49"/>
      <c r="U251" s="49"/>
      <c r="V251" s="136"/>
      <c r="W251" s="246"/>
      <c r="X251" s="55"/>
      <c r="Y251" s="55"/>
      <c r="Z251" s="55"/>
    </row>
    <row r="252" spans="1:26" ht="13.5" customHeight="1">
      <c r="A252" s="548" t="s">
        <v>132</v>
      </c>
      <c r="B252" s="136"/>
      <c r="C252" s="56"/>
      <c r="D252" s="136" t="s">
        <v>1414</v>
      </c>
      <c r="E252" s="289">
        <f>ROUND(100*E251/E250,1)</f>
        <v>99.9</v>
      </c>
      <c r="F252" s="394">
        <f>ROUND(100*F251/F250,1)</f>
        <v>99.9</v>
      </c>
      <c r="G252" s="49">
        <f aca="true" t="shared" si="26" ref="G252:V252">SUM(G250:G251)</f>
        <v>0</v>
      </c>
      <c r="H252" s="49">
        <f t="shared" si="26"/>
        <v>0</v>
      </c>
      <c r="I252" s="49">
        <f t="shared" si="26"/>
        <v>0</v>
      </c>
      <c r="J252" s="279">
        <f t="shared" si="26"/>
        <v>0</v>
      </c>
      <c r="K252" s="279"/>
      <c r="L252" s="49">
        <f t="shared" si="26"/>
        <v>0</v>
      </c>
      <c r="M252" s="56">
        <f t="shared" si="26"/>
        <v>0</v>
      </c>
      <c r="N252" s="280">
        <f t="shared" si="26"/>
        <v>0</v>
      </c>
      <c r="O252" s="289">
        <f>ROUND(100*O251/O250,1)</f>
        <v>105.6</v>
      </c>
      <c r="P252" s="136">
        <f t="shared" si="26"/>
        <v>0</v>
      </c>
      <c r="Q252" s="49">
        <f t="shared" si="26"/>
        <v>0</v>
      </c>
      <c r="R252" s="50">
        <f>ROUND(100*R251/R250,1)</f>
        <v>105.6</v>
      </c>
      <c r="S252" s="49">
        <f t="shared" si="26"/>
        <v>0</v>
      </c>
      <c r="T252" s="49"/>
      <c r="U252" s="49">
        <f t="shared" si="26"/>
        <v>0</v>
      </c>
      <c r="V252" s="136">
        <f t="shared" si="26"/>
        <v>0</v>
      </c>
      <c r="W252" s="246"/>
      <c r="X252" s="55"/>
      <c r="Y252" s="55"/>
      <c r="Z252" s="55"/>
    </row>
    <row r="253" spans="1:26" ht="13.5" customHeight="1">
      <c r="A253" s="546" t="s">
        <v>1359</v>
      </c>
      <c r="B253" s="566" t="s">
        <v>133</v>
      </c>
      <c r="C253" s="56" t="s">
        <v>134</v>
      </c>
      <c r="D253" s="287"/>
      <c r="E253" s="275"/>
      <c r="F253" s="136"/>
      <c r="G253" s="49"/>
      <c r="H253" s="49"/>
      <c r="I253" s="49"/>
      <c r="J253" s="279"/>
      <c r="K253" s="279"/>
      <c r="L253" s="49"/>
      <c r="M253" s="56"/>
      <c r="N253" s="280"/>
      <c r="O253" s="275"/>
      <c r="P253" s="136"/>
      <c r="Q253" s="49"/>
      <c r="R253" s="49"/>
      <c r="S253" s="49"/>
      <c r="T253" s="49"/>
      <c r="U253" s="49"/>
      <c r="V253" s="136"/>
      <c r="W253" s="246"/>
      <c r="X253" s="55"/>
      <c r="Y253" s="55"/>
      <c r="Z253" s="55"/>
    </row>
    <row r="254" spans="1:26" ht="13.5" customHeight="1">
      <c r="A254" s="548" t="s">
        <v>135</v>
      </c>
      <c r="C254" s="212"/>
      <c r="D254" s="136" t="s">
        <v>1084</v>
      </c>
      <c r="E254" s="275">
        <f>SUM(F254:N254)</f>
        <v>29216</v>
      </c>
      <c r="F254" s="136">
        <v>29216</v>
      </c>
      <c r="G254" s="49"/>
      <c r="H254" s="49"/>
      <c r="I254" s="49"/>
      <c r="J254" s="279"/>
      <c r="K254" s="279"/>
      <c r="L254" s="49"/>
      <c r="M254" s="49"/>
      <c r="N254" s="136"/>
      <c r="O254" s="275">
        <f>SUM(P254:V254)</f>
        <v>3262</v>
      </c>
      <c r="P254" s="136"/>
      <c r="Q254" s="49"/>
      <c r="R254" s="49">
        <v>3262</v>
      </c>
      <c r="S254" s="49"/>
      <c r="T254" s="49"/>
      <c r="U254" s="49"/>
      <c r="V254" s="136"/>
      <c r="W254" s="246"/>
      <c r="X254" s="55"/>
      <c r="Y254" s="55"/>
      <c r="Z254" s="55"/>
    </row>
    <row r="255" spans="1:26" ht="13.5" customHeight="1">
      <c r="A255" s="548" t="s">
        <v>136</v>
      </c>
      <c r="B255" s="566"/>
      <c r="C255" s="56"/>
      <c r="D255" s="136" t="s">
        <v>978</v>
      </c>
      <c r="E255" s="275">
        <f>SUM(F255:N255)</f>
        <v>29936</v>
      </c>
      <c r="F255" s="136">
        <v>29936</v>
      </c>
      <c r="G255" s="49"/>
      <c r="H255" s="49"/>
      <c r="I255" s="49"/>
      <c r="J255" s="279"/>
      <c r="K255" s="279"/>
      <c r="L255" s="49"/>
      <c r="M255" s="49"/>
      <c r="N255" s="136"/>
      <c r="O255" s="275">
        <f>SUM(P255:V255)</f>
        <v>9081</v>
      </c>
      <c r="P255" s="136"/>
      <c r="Q255" s="49"/>
      <c r="R255" s="49">
        <v>9081</v>
      </c>
      <c r="S255" s="49"/>
      <c r="T255" s="49"/>
      <c r="U255" s="49"/>
      <c r="V255" s="136"/>
      <c r="W255" s="246"/>
      <c r="X255" s="55"/>
      <c r="Y255" s="55"/>
      <c r="Z255" s="55"/>
    </row>
    <row r="256" spans="1:26" ht="13.5" customHeight="1">
      <c r="A256" s="548" t="s">
        <v>137</v>
      </c>
      <c r="B256" s="566"/>
      <c r="C256" s="56"/>
      <c r="D256" s="136" t="s">
        <v>979</v>
      </c>
      <c r="E256" s="275">
        <f>SUM(F256:N256)</f>
        <v>29936</v>
      </c>
      <c r="F256" s="136">
        <v>29936</v>
      </c>
      <c r="G256" s="49"/>
      <c r="H256" s="49"/>
      <c r="I256" s="49"/>
      <c r="J256" s="279"/>
      <c r="K256" s="279"/>
      <c r="L256" s="49"/>
      <c r="M256" s="49"/>
      <c r="N256" s="136"/>
      <c r="O256" s="294">
        <f>SUM(P256:V256)</f>
        <v>8807</v>
      </c>
      <c r="P256" s="136"/>
      <c r="Q256" s="49"/>
      <c r="R256" s="49">
        <v>8807</v>
      </c>
      <c r="S256" s="49"/>
      <c r="T256" s="49"/>
      <c r="U256" s="49"/>
      <c r="V256" s="136"/>
      <c r="W256" s="246"/>
      <c r="X256" s="55"/>
      <c r="Y256" s="55"/>
      <c r="Z256" s="55"/>
    </row>
    <row r="257" spans="1:26" ht="13.5" customHeight="1">
      <c r="A257" s="548" t="s">
        <v>138</v>
      </c>
      <c r="B257" s="566"/>
      <c r="C257" s="56"/>
      <c r="D257" s="136" t="s">
        <v>1414</v>
      </c>
      <c r="E257" s="289">
        <f>ROUND(100*E256/E255,1)</f>
        <v>100</v>
      </c>
      <c r="F257" s="394">
        <f>ROUND(100*F256/F255,1)</f>
        <v>100</v>
      </c>
      <c r="G257" s="49">
        <f aca="true" t="shared" si="27" ref="G257:V257">SUM(G255:G256)</f>
        <v>0</v>
      </c>
      <c r="H257" s="49">
        <f t="shared" si="27"/>
        <v>0</v>
      </c>
      <c r="I257" s="49">
        <f t="shared" si="27"/>
        <v>0</v>
      </c>
      <c r="J257" s="279">
        <f t="shared" si="27"/>
        <v>0</v>
      </c>
      <c r="K257" s="279"/>
      <c r="L257" s="49">
        <f t="shared" si="27"/>
        <v>0</v>
      </c>
      <c r="M257" s="49">
        <f t="shared" si="27"/>
        <v>0</v>
      </c>
      <c r="N257" s="136">
        <f t="shared" si="27"/>
        <v>0</v>
      </c>
      <c r="O257" s="289">
        <f>ROUND(100*O256/O255,1)</f>
        <v>97</v>
      </c>
      <c r="P257" s="136">
        <f t="shared" si="27"/>
        <v>0</v>
      </c>
      <c r="Q257" s="49">
        <f t="shared" si="27"/>
        <v>0</v>
      </c>
      <c r="R257" s="50">
        <f>ROUND(100*R256/R255,1)</f>
        <v>97</v>
      </c>
      <c r="S257" s="49">
        <f t="shared" si="27"/>
        <v>0</v>
      </c>
      <c r="T257" s="49"/>
      <c r="U257" s="49">
        <f t="shared" si="27"/>
        <v>0</v>
      </c>
      <c r="V257" s="136">
        <f t="shared" si="27"/>
        <v>0</v>
      </c>
      <c r="W257" s="246"/>
      <c r="X257" s="55"/>
      <c r="Y257" s="55"/>
      <c r="Z257" s="55"/>
    </row>
    <row r="258" spans="1:26" ht="13.5" customHeight="1">
      <c r="A258" s="567" t="s">
        <v>139</v>
      </c>
      <c r="B258" s="540"/>
      <c r="C258" s="568" t="s">
        <v>1302</v>
      </c>
      <c r="D258" s="259"/>
      <c r="E258" s="271"/>
      <c r="F258" s="540"/>
      <c r="G258" s="542"/>
      <c r="H258" s="542"/>
      <c r="I258" s="542"/>
      <c r="J258" s="542"/>
      <c r="K258" s="542"/>
      <c r="L258" s="542"/>
      <c r="M258" s="237"/>
      <c r="N258" s="286"/>
      <c r="O258" s="271"/>
      <c r="P258" s="569"/>
      <c r="Q258" s="542"/>
      <c r="R258" s="542"/>
      <c r="S258" s="542"/>
      <c r="T258" s="542"/>
      <c r="U258" s="542"/>
      <c r="V258" s="237"/>
      <c r="W258" s="262"/>
      <c r="X258" s="55"/>
      <c r="Y258" s="55"/>
      <c r="Z258" s="55"/>
    </row>
    <row r="259" spans="1:26" s="216" customFormat="1" ht="13.5" customHeight="1">
      <c r="A259" s="548" t="s">
        <v>140</v>
      </c>
      <c r="B259" s="570"/>
      <c r="D259" s="136" t="s">
        <v>1084</v>
      </c>
      <c r="E259" s="294">
        <f>SUM(F259:N259)</f>
        <v>1863070</v>
      </c>
      <c r="F259" s="279">
        <f>SUM(F254,F249,F244,F88,F52,F37,F32)</f>
        <v>83119</v>
      </c>
      <c r="G259" s="49">
        <f aca="true" t="shared" si="28" ref="G259:H261">SUM(G57)</f>
        <v>577313</v>
      </c>
      <c r="H259" s="49">
        <f t="shared" si="28"/>
        <v>907904</v>
      </c>
      <c r="I259" s="49">
        <f>SUM(I113,I108)</f>
        <v>27526</v>
      </c>
      <c r="J259" s="49">
        <f>SUM(J52,J37)</f>
        <v>93667</v>
      </c>
      <c r="K259" s="49"/>
      <c r="L259" s="49">
        <f>SUM(L62)</f>
        <v>173541</v>
      </c>
      <c r="M259" s="56"/>
      <c r="N259" s="280"/>
      <c r="O259" s="302">
        <f>SUM(P259:W259)</f>
        <v>1863070</v>
      </c>
      <c r="P259" s="281">
        <f>SUM(P244,P234,P113,P108,P88,P52,P37,P32)</f>
        <v>211646</v>
      </c>
      <c r="Q259" s="49">
        <f>SUM(Q244,Q234,Q113,Q108,Q88,Q52,Q37,Q32)</f>
        <v>52914</v>
      </c>
      <c r="R259" s="49">
        <f>SUM(R254,R249,R244,R234,R113,R108,R93,R88,R52,R47,R37,R32)</f>
        <v>210000</v>
      </c>
      <c r="S259" s="49">
        <f>SUM(S207,S197,S192,S182,S177,S172,S138,S128,S123,S118,S103,S67,S52)</f>
        <v>1388510</v>
      </c>
      <c r="T259" s="49"/>
      <c r="U259" s="49"/>
      <c r="V259" s="56"/>
      <c r="W259" s="571"/>
      <c r="X259" s="572"/>
      <c r="Y259" s="572"/>
      <c r="Z259" s="572"/>
    </row>
    <row r="260" spans="1:26" s="216" customFormat="1" ht="13.5" customHeight="1">
      <c r="A260" s="548" t="s">
        <v>141</v>
      </c>
      <c r="B260" s="570"/>
      <c r="C260" s="573"/>
      <c r="D260" s="136" t="s">
        <v>978</v>
      </c>
      <c r="E260" s="294">
        <f>SUM(F260:N260)</f>
        <v>2436096</v>
      </c>
      <c r="F260" s="279">
        <f>F17+F22+F28+F33+F38+F48+F53+F58+F63+F68+F89+F94+F99+F104+F109+F114+F119+F124+F129+F134+F139+F163+F168+F173+F178+F183+F188+F193+F198+F203+F208+F235+F240+F245+F250+F255</f>
        <v>91457</v>
      </c>
      <c r="G260" s="49">
        <f t="shared" si="28"/>
        <v>699235</v>
      </c>
      <c r="H260" s="49">
        <f t="shared" si="28"/>
        <v>1320645</v>
      </c>
      <c r="I260" s="49">
        <f>SUM(I114,I109)</f>
        <v>28404</v>
      </c>
      <c r="J260" s="49">
        <f>SUM(J235,J203,J188,J53,J43,J38,J17,J208,J163,J28,J22)</f>
        <v>192295</v>
      </c>
      <c r="K260" s="49"/>
      <c r="L260" s="49">
        <f>SUM(L63)</f>
        <v>84949</v>
      </c>
      <c r="M260" s="56">
        <f>SUM(M53)</f>
        <v>2317</v>
      </c>
      <c r="N260" s="280">
        <f>SUM(N53)</f>
        <v>16794</v>
      </c>
      <c r="O260" s="302">
        <f>SUM(P260:W260)</f>
        <v>2436096</v>
      </c>
      <c r="P260" s="281">
        <f>SUM(P245,P235,P114,P109,P89,P53,P43,P38,P33,P17,P28,P22)</f>
        <v>393136</v>
      </c>
      <c r="Q260" s="49">
        <f>SUM(Q245,Q235,Q114,Q109,Q89,Q53,Q43,Q38,Q33,Q17,Q28,Q22)</f>
        <v>79100</v>
      </c>
      <c r="R260" s="49">
        <f>SUM(R255,R250,R245,R235,R114,R109,R99,R94,R89,R53,R48,R43,R38,R33,R17,R28,R22)</f>
        <v>201678</v>
      </c>
      <c r="S260" s="49">
        <f>SUM(S208,S203,S38,S193,S188,S178,S173,S139,S129,S124,S119,S104,S68,S53,S168,S163,S134)</f>
        <v>1670884</v>
      </c>
      <c r="T260" s="49"/>
      <c r="U260" s="49">
        <f>SUM(U53)</f>
        <v>2852</v>
      </c>
      <c r="V260" s="56">
        <f>SUM(V53)</f>
        <v>87106</v>
      </c>
      <c r="W260" s="34">
        <f>SUM(W53)</f>
        <v>1340</v>
      </c>
      <c r="X260" s="572"/>
      <c r="Y260" s="572"/>
      <c r="Z260" s="572"/>
    </row>
    <row r="261" spans="1:26" ht="12.75" customHeight="1">
      <c r="A261" s="548" t="s">
        <v>142</v>
      </c>
      <c r="B261" s="574"/>
      <c r="C261" s="311"/>
      <c r="D261" s="136" t="s">
        <v>979</v>
      </c>
      <c r="E261" s="326">
        <f>SUM(F261:N261)</f>
        <v>2508597</v>
      </c>
      <c r="F261" s="413">
        <f>SUM(F256,F251,F246,F115,F110,F54,F39,F34,F23)</f>
        <v>97496</v>
      </c>
      <c r="G261" s="53">
        <f t="shared" si="28"/>
        <v>699235</v>
      </c>
      <c r="H261" s="53">
        <f t="shared" si="28"/>
        <v>1321170</v>
      </c>
      <c r="I261" s="53">
        <f>SUM(I115,I110,I54)</f>
        <v>28638</v>
      </c>
      <c r="J261" s="53">
        <f>SUM(J236,J204,J189,J164,J54,J44,J39,J29,J23,J18)</f>
        <v>201418</v>
      </c>
      <c r="K261" s="53">
        <f>SUM(K69)</f>
        <v>24786</v>
      </c>
      <c r="L261" s="53">
        <f>SUM(L64)</f>
        <v>0</v>
      </c>
      <c r="M261" s="379">
        <f>SUM(M54)</f>
        <v>117475</v>
      </c>
      <c r="N261" s="34">
        <f>SUM(N54)</f>
        <v>18379</v>
      </c>
      <c r="O261" s="335">
        <f>SUM(P261:W261)</f>
        <v>2353711</v>
      </c>
      <c r="P261" s="412">
        <f>SUM(P246,P236,P115,P110,P90,P54,P39,P34,P29,P23,P18)</f>
        <v>397394</v>
      </c>
      <c r="Q261" s="53">
        <f>SUM(Q246,Q236,Q140,Q115,Q110,Q90,Q54,Q39,Q34,Q29,Q23,Q18)</f>
        <v>81025</v>
      </c>
      <c r="R261" s="53">
        <f>SUM(R256,R251,R246,R241,R236,R115,R110,R100,R95,R90,R54,R49,R44,R39,R34,R29,R23,R18)</f>
        <v>184948</v>
      </c>
      <c r="S261" s="53">
        <f>SUM(S209,S204,S194,S189,S179,S174,S169,S164,S140,S135,S130,S125,S120,S105,S69,S54,S39)</f>
        <v>1587021</v>
      </c>
      <c r="T261" s="53">
        <f>SUM(T69)</f>
        <v>101983</v>
      </c>
      <c r="U261" s="53"/>
      <c r="V261" s="379"/>
      <c r="W261" s="34">
        <f>SUM(W54)</f>
        <v>1340</v>
      </c>
      <c r="X261" s="55"/>
      <c r="Y261" s="55"/>
      <c r="Z261" s="55"/>
    </row>
    <row r="262" spans="1:26" ht="15">
      <c r="A262" s="562" t="s">
        <v>143</v>
      </c>
      <c r="B262" s="575"/>
      <c r="C262" s="576"/>
      <c r="D262" s="278" t="s">
        <v>1414</v>
      </c>
      <c r="E262" s="356">
        <f aca="true" t="shared" si="29" ref="E262:N262">ROUND(100*E261/E260,1)</f>
        <v>103</v>
      </c>
      <c r="F262" s="432">
        <f t="shared" si="29"/>
        <v>106.6</v>
      </c>
      <c r="G262" s="428">
        <f t="shared" si="29"/>
        <v>100</v>
      </c>
      <c r="H262" s="428">
        <f t="shared" si="29"/>
        <v>100</v>
      </c>
      <c r="I262" s="428">
        <f t="shared" si="29"/>
        <v>100.8</v>
      </c>
      <c r="J262" s="428">
        <f t="shared" si="29"/>
        <v>104.7</v>
      </c>
      <c r="K262" s="428"/>
      <c r="L262" s="428"/>
      <c r="M262" s="536">
        <f t="shared" si="29"/>
        <v>5070.1</v>
      </c>
      <c r="N262" s="331">
        <f t="shared" si="29"/>
        <v>109.4</v>
      </c>
      <c r="O262" s="357">
        <f>ROUND(100*O261/O260,1)</f>
        <v>96.6</v>
      </c>
      <c r="P262" s="427">
        <f>ROUND(100*P261/P260,1)</f>
        <v>101.1</v>
      </c>
      <c r="Q262" s="428">
        <f>ROUND(100*Q261/Q260,1)</f>
        <v>102.4</v>
      </c>
      <c r="R262" s="428">
        <f>ROUND(100*R261/R260,1)</f>
        <v>91.7</v>
      </c>
      <c r="S262" s="428">
        <f>ROUND(100*S261/S260,1)</f>
        <v>95</v>
      </c>
      <c r="T262" s="428"/>
      <c r="U262" s="428"/>
      <c r="V262" s="536"/>
      <c r="W262" s="331">
        <f>ROUND(100*W261/W260,1)</f>
        <v>100</v>
      </c>
      <c r="X262" s="55"/>
      <c r="Y262" s="55"/>
      <c r="Z262" s="55"/>
    </row>
    <row r="263" spans="2:26" ht="12.75"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</row>
    <row r="264" spans="2:26" ht="12.75"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</row>
    <row r="265" spans="2:26" ht="12.75"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</row>
    <row r="266" spans="2:26" ht="12.75"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</row>
    <row r="267" spans="2:26" ht="12.75"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</row>
    <row r="268" spans="2:26" ht="12.75"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</row>
    <row r="269" spans="2:26" ht="12.75"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</row>
    <row r="270" spans="2:26" ht="12.75"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</row>
    <row r="271" spans="2:26" ht="12.75"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</row>
    <row r="272" spans="2:26" ht="12.75"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</row>
    <row r="273" spans="2:26" ht="12.75"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</row>
    <row r="274" spans="2:26" ht="12.75"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</row>
    <row r="275" spans="2:26" ht="12.75"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</row>
    <row r="276" spans="2:26" ht="12.75"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</row>
    <row r="277" spans="2:26" ht="12.75"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</row>
    <row r="278" spans="2:26" ht="12.75"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</row>
    <row r="279" spans="2:26" ht="12.75"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</row>
    <row r="280" spans="2:26" ht="12.75"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</row>
    <row r="281" spans="2:26" ht="12.75"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</row>
    <row r="282" spans="2:26" ht="12.75"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</row>
    <row r="283" spans="2:26" ht="12.75"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</row>
    <row r="284" spans="2:26" ht="12.75"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</row>
    <row r="285" spans="2:26" ht="12.75"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</row>
    <row r="286" spans="2:26" ht="12.75"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</row>
    <row r="287" spans="2:26" ht="12.75"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</row>
    <row r="288" spans="2:26" ht="12.75"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</row>
    <row r="289" spans="2:26" ht="12.75"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</row>
    <row r="290" spans="2:26" ht="12.75"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</row>
    <row r="291" spans="2:26" ht="12.75"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</row>
    <row r="292" spans="2:26" ht="12.75"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</row>
    <row r="293" spans="2:26" ht="12.75"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</row>
    <row r="294" spans="2:26" ht="12.75"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</row>
    <row r="295" spans="2:26" ht="12.75"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</row>
    <row r="296" spans="2:26" ht="12.75"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</row>
    <row r="297" spans="2:26" ht="12.75"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</row>
    <row r="298" spans="2:26" ht="12.75"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</row>
    <row r="299" spans="2:26" ht="12.75"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</row>
    <row r="300" spans="2:26" ht="12.75"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</row>
    <row r="301" spans="2:26" ht="12.75"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</row>
    <row r="302" spans="2:26" ht="12.75"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</row>
    <row r="303" spans="2:26" ht="12.75"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</row>
    <row r="304" spans="2:26" ht="12.75"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</row>
    <row r="305" spans="2:26" ht="12.75"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</row>
    <row r="306" spans="2:26" ht="12.75"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</row>
    <row r="307" spans="2:26" ht="12.75"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</row>
    <row r="308" spans="2:26" ht="12.75"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</row>
    <row r="309" spans="2:26" ht="12.75"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</row>
    <row r="310" spans="2:26" ht="12.75"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</row>
    <row r="311" spans="2:26" ht="12.75"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</row>
    <row r="312" spans="2:26" ht="12.75"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</row>
    <row r="313" spans="2:26" ht="12.75"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</row>
    <row r="314" spans="2:26" ht="12.75"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</row>
    <row r="315" spans="2:26" ht="12.75"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</row>
    <row r="316" spans="2:26" ht="12.75"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</row>
    <row r="317" spans="2:26" ht="12.75"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</row>
    <row r="318" spans="2:26" ht="12.75"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</row>
    <row r="319" spans="2:26" ht="12.75"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</row>
    <row r="320" spans="2:26" ht="12.75"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</row>
    <row r="321" spans="2:26" ht="12.75"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</row>
    <row r="322" spans="2:26" ht="12.75"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</row>
    <row r="323" spans="2:26" ht="12.75"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</row>
    <row r="324" spans="2:26" ht="12.75"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</row>
    <row r="325" spans="2:26" ht="12.75"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</row>
    <row r="326" spans="2:26" ht="12.75"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</row>
    <row r="327" spans="2:26" ht="12.75"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</row>
    <row r="328" spans="2:26" ht="12.75"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</row>
    <row r="329" spans="2:26" ht="12.75"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</row>
    <row r="330" spans="2:26" ht="12.75"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</row>
    <row r="331" spans="2:26" ht="12.75"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</row>
    <row r="332" spans="2:26" ht="12.75"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</row>
    <row r="333" spans="2:26" ht="12.75"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</row>
    <row r="334" spans="2:26" ht="12.75"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</row>
    <row r="335" spans="2:26" ht="12.75"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</row>
    <row r="336" spans="2:26" ht="12.75"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</row>
    <row r="337" spans="2:26" ht="12.75"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</row>
    <row r="338" spans="2:26" ht="12.75"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</row>
    <row r="339" spans="2:26" ht="12.75"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</row>
    <row r="340" spans="2:26" ht="12.75"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</row>
    <row r="341" spans="2:26" ht="12.75"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</row>
    <row r="342" spans="2:26" ht="12.75"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</row>
    <row r="343" spans="2:26" ht="12.75"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</row>
    <row r="344" spans="2:26" ht="12.75"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</row>
    <row r="345" spans="2:26" ht="12.75"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</row>
    <row r="346" spans="2:26" ht="12.75"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</row>
    <row r="347" spans="2:26" ht="12.75"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</row>
    <row r="348" spans="2:26" ht="12.75"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</row>
    <row r="349" spans="2:26" ht="12.75"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</row>
    <row r="350" spans="2:26" ht="12.75"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</row>
    <row r="351" spans="2:26" ht="12.75"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</row>
    <row r="352" spans="2:26" ht="12.75"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</row>
    <row r="353" spans="2:26" ht="12.75"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</row>
    <row r="354" spans="2:26" ht="12.75"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</row>
    <row r="355" spans="2:26" ht="12.75"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</row>
    <row r="356" spans="2:26" ht="12.75"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</row>
    <row r="357" spans="2:26" ht="12.75"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</row>
    <row r="358" spans="2:26" ht="12.75"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</row>
    <row r="359" spans="2:26" ht="12.75"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</row>
    <row r="360" spans="2:26" ht="12.75"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</row>
    <row r="361" spans="2:26" ht="12.75"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</row>
    <row r="362" spans="2:26" ht="12.75"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</row>
    <row r="363" spans="2:26" ht="12.75"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</row>
    <row r="364" spans="2:26" ht="12.75"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</row>
    <row r="365" spans="2:26" ht="12.75"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</row>
    <row r="366" spans="2:26" ht="12.75"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</row>
    <row r="367" spans="2:26" ht="12.75"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</row>
    <row r="368" spans="2:26" ht="12.75"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</row>
    <row r="369" spans="2:26" ht="12.75"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</row>
    <row r="370" spans="2:26" ht="12.75"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</row>
    <row r="371" spans="2:26" ht="12.75"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</row>
    <row r="372" spans="2:26" ht="12.75"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</row>
    <row r="373" spans="2:26" ht="12.75"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</row>
    <row r="374" spans="2:26" ht="12.75"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</row>
    <row r="375" spans="2:26" ht="12.75"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</row>
    <row r="376" spans="2:26" ht="12.75"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</row>
    <row r="377" spans="2:26" ht="12.75"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</row>
    <row r="378" spans="2:26" ht="12.75"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</row>
    <row r="379" spans="2:26" ht="12.75"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</row>
    <row r="380" spans="2:26" ht="12.75"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</row>
    <row r="381" spans="2:26" ht="12.75"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</row>
    <row r="382" spans="2:26" ht="12.75"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</row>
    <row r="383" spans="2:26" ht="12.75"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</row>
    <row r="384" spans="2:26" ht="12.75"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</row>
    <row r="385" spans="2:26" ht="12.75"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</row>
    <row r="386" spans="2:26" ht="12.75"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</row>
    <row r="387" spans="2:26" ht="12.75"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</row>
    <row r="388" spans="2:26" ht="12.75"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</row>
    <row r="389" spans="2:26" ht="12.75"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</row>
    <row r="390" spans="2:26" ht="12.75"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</row>
  </sheetData>
  <mergeCells count="6">
    <mergeCell ref="C152:D152"/>
    <mergeCell ref="C224:D224"/>
    <mergeCell ref="V1:W1"/>
    <mergeCell ref="B3:W3"/>
    <mergeCell ref="C6:D6"/>
    <mergeCell ref="C78:D78"/>
  </mergeCells>
  <printOptions horizontalCentered="1"/>
  <pageMargins left="0.5902777777777778" right="0.5902777777777778" top="0.39375" bottom="0.7875" header="0.5118055555555556" footer="0.5118055555555556"/>
  <pageSetup cellComments="atEnd" horizontalDpi="300" verticalDpi="300" orientation="landscape" paperSize="9" scale="50" r:id="rId1"/>
  <rowBreaks count="1" manualBreakCount="1">
    <brk id="14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workbookViewId="0" topLeftCell="A1">
      <selection activeCell="E31" sqref="E31"/>
    </sheetView>
  </sheetViews>
  <sheetFormatPr defaultColWidth="9.140625" defaultRowHeight="12.75"/>
  <cols>
    <col min="1" max="1" width="7.00390625" style="1" customWidth="1"/>
    <col min="2" max="2" width="10.140625" style="1" customWidth="1"/>
    <col min="3" max="3" width="36.8515625" style="1" customWidth="1"/>
    <col min="4" max="4" width="16.421875" style="1" customWidth="1"/>
    <col min="5" max="5" width="10.421875" style="1" customWidth="1"/>
    <col min="6" max="6" width="8.57421875" style="1" customWidth="1"/>
    <col min="7" max="7" width="9.57421875" style="1" customWidth="1"/>
    <col min="8" max="9" width="8.140625" style="1" customWidth="1"/>
    <col min="10" max="12" width="9.421875" style="1" customWidth="1"/>
    <col min="13" max="13" width="10.00390625" style="1" customWidth="1"/>
    <col min="14" max="14" width="9.421875" style="1" customWidth="1"/>
    <col min="15" max="15" width="11.421875" style="1" customWidth="1"/>
    <col min="16" max="19" width="8.57421875" style="1" customWidth="1"/>
    <col min="20" max="20" width="8.8515625" style="1" customWidth="1"/>
    <col min="21" max="21" width="9.421875" style="1" customWidth="1"/>
    <col min="22" max="16384" width="9.140625" style="1" customWidth="1"/>
  </cols>
  <sheetData>
    <row r="1" spans="21:22" ht="14.25">
      <c r="U1" s="1050" t="s">
        <v>144</v>
      </c>
      <c r="V1" s="1050"/>
    </row>
    <row r="3" spans="1:22" ht="15">
      <c r="A3" s="992" t="s">
        <v>145</v>
      </c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  <c r="O3" s="992"/>
      <c r="P3" s="992"/>
      <c r="Q3" s="992"/>
      <c r="R3" s="992"/>
      <c r="S3" s="992"/>
      <c r="T3" s="992"/>
      <c r="U3" s="992"/>
      <c r="V3" s="992"/>
    </row>
    <row r="4" spans="1:22" ht="15">
      <c r="A4" s="577"/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7"/>
      <c r="V4" s="577"/>
    </row>
    <row r="5" spans="2:21" ht="12.75"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39"/>
      <c r="U5" s="539"/>
    </row>
    <row r="6" spans="2:22" ht="13.5" customHeight="1"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V6" s="578" t="s">
        <v>1305</v>
      </c>
    </row>
    <row r="7" spans="1:22" ht="13.5" customHeight="1">
      <c r="A7" s="10"/>
      <c r="B7" s="8" t="s">
        <v>960</v>
      </c>
      <c r="C7" s="1054" t="s">
        <v>961</v>
      </c>
      <c r="D7" s="1054"/>
      <c r="E7" s="8" t="s">
        <v>962</v>
      </c>
      <c r="F7" s="8" t="s">
        <v>963</v>
      </c>
      <c r="G7" s="8" t="s">
        <v>964</v>
      </c>
      <c r="H7" s="8" t="s">
        <v>965</v>
      </c>
      <c r="I7" s="8" t="s">
        <v>966</v>
      </c>
      <c r="J7" s="8" t="s">
        <v>967</v>
      </c>
      <c r="K7" s="8" t="s">
        <v>968</v>
      </c>
      <c r="L7" s="8" t="s">
        <v>969</v>
      </c>
      <c r="M7" s="8" t="s">
        <v>970</v>
      </c>
      <c r="N7" s="8" t="s">
        <v>971</v>
      </c>
      <c r="O7" s="8" t="s">
        <v>972</v>
      </c>
      <c r="P7" s="8" t="s">
        <v>973</v>
      </c>
      <c r="Q7" s="8" t="s">
        <v>1480</v>
      </c>
      <c r="R7" s="8" t="s">
        <v>1481</v>
      </c>
      <c r="S7" s="8" t="s">
        <v>1482</v>
      </c>
      <c r="T7" s="8" t="s">
        <v>1483</v>
      </c>
      <c r="U7" s="10" t="s">
        <v>1484</v>
      </c>
      <c r="V7" s="10" t="s">
        <v>1486</v>
      </c>
    </row>
    <row r="8" spans="1:22" ht="13.5" customHeight="1">
      <c r="A8" s="133" t="s">
        <v>1159</v>
      </c>
      <c r="B8" s="579" t="s">
        <v>1631</v>
      </c>
      <c r="C8" s="580" t="s">
        <v>1083</v>
      </c>
      <c r="D8" s="580"/>
      <c r="E8" s="581" t="s">
        <v>1406</v>
      </c>
      <c r="F8" s="2" t="s">
        <v>1493</v>
      </c>
      <c r="G8" s="2"/>
      <c r="H8" s="2"/>
      <c r="I8" s="2"/>
      <c r="J8" s="2"/>
      <c r="K8" s="2"/>
      <c r="L8" s="2"/>
      <c r="M8" s="2"/>
      <c r="N8" s="2"/>
      <c r="O8" s="582" t="s">
        <v>1406</v>
      </c>
      <c r="P8" s="2" t="s">
        <v>1494</v>
      </c>
      <c r="Q8" s="2"/>
      <c r="R8" s="2"/>
      <c r="S8" s="2"/>
      <c r="T8" s="2"/>
      <c r="U8" s="2"/>
      <c r="V8" s="583"/>
    </row>
    <row r="9" spans="1:22" ht="13.5" customHeight="1">
      <c r="A9" s="148"/>
      <c r="B9" s="584" t="s">
        <v>1632</v>
      </c>
      <c r="C9" s="48"/>
      <c r="D9" s="48"/>
      <c r="E9" s="581" t="s">
        <v>1408</v>
      </c>
      <c r="F9" s="127"/>
      <c r="G9" s="127"/>
      <c r="H9" s="127"/>
      <c r="I9" s="127"/>
      <c r="J9" s="127"/>
      <c r="K9" s="127"/>
      <c r="L9" s="127"/>
      <c r="M9" s="127"/>
      <c r="N9" s="127"/>
      <c r="O9" s="582" t="s">
        <v>1410</v>
      </c>
      <c r="P9" s="127"/>
      <c r="Q9" s="127"/>
      <c r="R9" s="127"/>
      <c r="S9" s="127"/>
      <c r="T9" s="127"/>
      <c r="U9" s="127"/>
      <c r="V9" s="477"/>
    </row>
    <row r="10" spans="1:22" ht="13.5" customHeight="1">
      <c r="A10" s="148"/>
      <c r="B10" s="585"/>
      <c r="C10" s="48"/>
      <c r="D10" s="48"/>
      <c r="E10" s="581" t="s">
        <v>1407</v>
      </c>
      <c r="F10" s="586" t="s">
        <v>1573</v>
      </c>
      <c r="G10" s="587" t="s">
        <v>1573</v>
      </c>
      <c r="H10" s="587" t="s">
        <v>1574</v>
      </c>
      <c r="I10" s="587" t="s">
        <v>1573</v>
      </c>
      <c r="J10" s="587" t="s">
        <v>1575</v>
      </c>
      <c r="K10" s="587" t="s">
        <v>1496</v>
      </c>
      <c r="L10" s="587" t="s">
        <v>1406</v>
      </c>
      <c r="M10" s="588" t="s">
        <v>1576</v>
      </c>
      <c r="N10" s="588" t="s">
        <v>1406</v>
      </c>
      <c r="O10" s="582" t="s">
        <v>1409</v>
      </c>
      <c r="P10" s="586" t="s">
        <v>1577</v>
      </c>
      <c r="Q10" s="587" t="s">
        <v>1578</v>
      </c>
      <c r="R10" s="587" t="s">
        <v>1406</v>
      </c>
      <c r="S10" s="589" t="s">
        <v>1406</v>
      </c>
      <c r="T10" s="587" t="s">
        <v>1406</v>
      </c>
      <c r="U10" s="587" t="s">
        <v>1406</v>
      </c>
      <c r="V10" s="583" t="s">
        <v>1406</v>
      </c>
    </row>
    <row r="11" spans="1:22" ht="13.5" customHeight="1">
      <c r="A11" s="148"/>
      <c r="B11" s="585"/>
      <c r="C11" s="48"/>
      <c r="D11" s="48"/>
      <c r="E11" s="581" t="s">
        <v>1404</v>
      </c>
      <c r="F11" s="590" t="s">
        <v>1580</v>
      </c>
      <c r="G11" s="591" t="s">
        <v>1580</v>
      </c>
      <c r="H11" s="591" t="s">
        <v>1582</v>
      </c>
      <c r="I11" s="591" t="s">
        <v>1583</v>
      </c>
      <c r="J11" s="591" t="s">
        <v>1584</v>
      </c>
      <c r="K11" s="591" t="s">
        <v>1513</v>
      </c>
      <c r="L11" s="591" t="s">
        <v>1583</v>
      </c>
      <c r="M11" s="592" t="s">
        <v>1585</v>
      </c>
      <c r="N11" s="592" t="s">
        <v>1583</v>
      </c>
      <c r="O11" s="582" t="s">
        <v>1404</v>
      </c>
      <c r="P11" s="590" t="s">
        <v>1586</v>
      </c>
      <c r="Q11" s="591" t="s">
        <v>1410</v>
      </c>
      <c r="R11" s="591" t="s">
        <v>1583</v>
      </c>
      <c r="S11" s="589" t="s">
        <v>1583</v>
      </c>
      <c r="T11" s="591" t="s">
        <v>1583</v>
      </c>
      <c r="U11" s="591" t="s">
        <v>1410</v>
      </c>
      <c r="V11" s="583" t="s">
        <v>1408</v>
      </c>
    </row>
    <row r="12" spans="1:22" ht="13.5" customHeight="1">
      <c r="A12" s="148"/>
      <c r="B12" s="585"/>
      <c r="C12" s="48"/>
      <c r="D12" s="48"/>
      <c r="E12" s="581"/>
      <c r="F12" s="590" t="s">
        <v>1588</v>
      </c>
      <c r="G12" s="591" t="s">
        <v>1589</v>
      </c>
      <c r="H12" s="591" t="s">
        <v>1590</v>
      </c>
      <c r="I12" s="591" t="s">
        <v>1591</v>
      </c>
      <c r="J12" s="591" t="s">
        <v>1592</v>
      </c>
      <c r="K12" s="591" t="s">
        <v>1533</v>
      </c>
      <c r="L12" s="591" t="s">
        <v>1517</v>
      </c>
      <c r="M12" s="592" t="s">
        <v>1593</v>
      </c>
      <c r="N12" s="592" t="s">
        <v>1594</v>
      </c>
      <c r="O12" s="582"/>
      <c r="P12" s="590" t="s">
        <v>1397</v>
      </c>
      <c r="Q12" s="591" t="s">
        <v>1409</v>
      </c>
      <c r="R12" s="591" t="s">
        <v>1547</v>
      </c>
      <c r="S12" s="589" t="s">
        <v>1595</v>
      </c>
      <c r="T12" s="591" t="s">
        <v>1594</v>
      </c>
      <c r="U12" s="591" t="s">
        <v>1529</v>
      </c>
      <c r="V12" s="583" t="s">
        <v>1597</v>
      </c>
    </row>
    <row r="13" spans="1:22" ht="13.5" customHeight="1">
      <c r="A13" s="148"/>
      <c r="B13" s="585"/>
      <c r="C13" s="48"/>
      <c r="D13" s="48"/>
      <c r="E13" s="581"/>
      <c r="F13" s="590" t="s">
        <v>1598</v>
      </c>
      <c r="G13" s="591" t="s">
        <v>1534</v>
      </c>
      <c r="H13" s="591" t="s">
        <v>1599</v>
      </c>
      <c r="I13" s="591" t="s">
        <v>1600</v>
      </c>
      <c r="J13" s="591" t="s">
        <v>1601</v>
      </c>
      <c r="K13" s="591" t="s">
        <v>1546</v>
      </c>
      <c r="L13" s="591" t="s">
        <v>1535</v>
      </c>
      <c r="M13" s="592" t="s">
        <v>1602</v>
      </c>
      <c r="N13" s="592" t="s">
        <v>1603</v>
      </c>
      <c r="O13" s="582"/>
      <c r="P13" s="590"/>
      <c r="Q13" s="591" t="s">
        <v>1586</v>
      </c>
      <c r="R13" s="591" t="s">
        <v>1604</v>
      </c>
      <c r="S13" s="589" t="s">
        <v>1605</v>
      </c>
      <c r="T13" s="591" t="s">
        <v>1606</v>
      </c>
      <c r="U13" s="591" t="s">
        <v>1607</v>
      </c>
      <c r="V13" s="583" t="s">
        <v>1565</v>
      </c>
    </row>
    <row r="14" spans="1:22" ht="13.5" customHeight="1">
      <c r="A14" s="148"/>
      <c r="B14" s="585"/>
      <c r="C14" s="48"/>
      <c r="D14" s="48"/>
      <c r="E14" s="581"/>
      <c r="F14" s="590" t="s">
        <v>1608</v>
      </c>
      <c r="G14" s="591" t="s">
        <v>1547</v>
      </c>
      <c r="H14" s="591" t="s">
        <v>1609</v>
      </c>
      <c r="I14" s="591" t="s">
        <v>1610</v>
      </c>
      <c r="J14" s="591" t="s">
        <v>146</v>
      </c>
      <c r="K14" s="591" t="s">
        <v>1560</v>
      </c>
      <c r="L14" s="591"/>
      <c r="M14" s="592" t="s">
        <v>1611</v>
      </c>
      <c r="N14" s="592"/>
      <c r="O14" s="582"/>
      <c r="P14" s="590"/>
      <c r="Q14" s="591"/>
      <c r="R14" s="591"/>
      <c r="S14" s="589" t="s">
        <v>1612</v>
      </c>
      <c r="T14" s="591"/>
      <c r="U14" s="591"/>
      <c r="V14" s="583"/>
    </row>
    <row r="15" spans="1:22" ht="13.5" customHeight="1">
      <c r="A15" s="593"/>
      <c r="B15" s="594"/>
      <c r="C15" s="235"/>
      <c r="D15" s="235"/>
      <c r="E15" s="595"/>
      <c r="F15" s="487" t="s">
        <v>1613</v>
      </c>
      <c r="G15" s="488" t="s">
        <v>1561</v>
      </c>
      <c r="H15" s="487"/>
      <c r="I15" s="487"/>
      <c r="J15" s="488"/>
      <c r="K15" s="488" t="s">
        <v>1567</v>
      </c>
      <c r="L15" s="488"/>
      <c r="M15" s="487"/>
      <c r="N15" s="487"/>
      <c r="O15" s="596"/>
      <c r="P15" s="597"/>
      <c r="Q15" s="598"/>
      <c r="R15" s="598"/>
      <c r="S15" s="599"/>
      <c r="T15" s="598"/>
      <c r="U15" s="598"/>
      <c r="V15" s="477"/>
    </row>
    <row r="16" spans="1:22" ht="13.5" customHeight="1">
      <c r="A16" s="552" t="s">
        <v>987</v>
      </c>
      <c r="B16" s="585" t="s">
        <v>1646</v>
      </c>
      <c r="C16" s="56" t="s">
        <v>1647</v>
      </c>
      <c r="E16" s="581"/>
      <c r="F16" s="481"/>
      <c r="G16" s="484"/>
      <c r="H16" s="483"/>
      <c r="I16" s="483"/>
      <c r="J16" s="484"/>
      <c r="K16" s="484"/>
      <c r="L16" s="484"/>
      <c r="M16" s="483"/>
      <c r="N16" s="483"/>
      <c r="O16" s="581"/>
      <c r="P16" s="600"/>
      <c r="Q16" s="42"/>
      <c r="R16" s="42"/>
      <c r="S16" s="3"/>
      <c r="T16" s="42"/>
      <c r="U16" s="42"/>
      <c r="V16" s="601"/>
    </row>
    <row r="17" spans="1:22" ht="13.5" customHeight="1">
      <c r="A17" s="548" t="s">
        <v>990</v>
      </c>
      <c r="B17" s="585"/>
      <c r="C17" s="48"/>
      <c r="D17" s="48" t="s">
        <v>1084</v>
      </c>
      <c r="E17" s="581"/>
      <c r="F17" s="481"/>
      <c r="G17" s="484"/>
      <c r="H17" s="483"/>
      <c r="I17" s="483"/>
      <c r="J17" s="484"/>
      <c r="K17" s="484"/>
      <c r="L17" s="484"/>
      <c r="M17" s="483"/>
      <c r="N17" s="483"/>
      <c r="O17" s="581"/>
      <c r="P17" s="600"/>
      <c r="Q17" s="42"/>
      <c r="R17" s="42"/>
      <c r="S17" s="3"/>
      <c r="T17" s="42"/>
      <c r="U17" s="42"/>
      <c r="V17" s="601"/>
    </row>
    <row r="18" spans="1:22" ht="13.5" customHeight="1">
      <c r="A18" s="548" t="s">
        <v>993</v>
      </c>
      <c r="B18" s="585"/>
      <c r="C18" s="48"/>
      <c r="D18" s="48" t="s">
        <v>978</v>
      </c>
      <c r="E18" s="581"/>
      <c r="F18" s="481"/>
      <c r="G18" s="484"/>
      <c r="H18" s="483"/>
      <c r="I18" s="483"/>
      <c r="J18" s="484"/>
      <c r="K18" s="484"/>
      <c r="L18" s="484"/>
      <c r="M18" s="483"/>
      <c r="N18" s="483"/>
      <c r="O18" s="581">
        <f>SUM(P18:V18)</f>
        <v>1324</v>
      </c>
      <c r="P18" s="600"/>
      <c r="Q18" s="42">
        <v>1324</v>
      </c>
      <c r="R18" s="42"/>
      <c r="S18" s="3"/>
      <c r="T18" s="42"/>
      <c r="U18" s="42"/>
      <c r="V18" s="601"/>
    </row>
    <row r="19" spans="1:22" ht="13.5" customHeight="1">
      <c r="A19" s="548" t="s">
        <v>996</v>
      </c>
      <c r="B19" s="585"/>
      <c r="C19" s="48"/>
      <c r="D19" s="48" t="s">
        <v>979</v>
      </c>
      <c r="E19" s="581"/>
      <c r="F19" s="481"/>
      <c r="G19" s="484"/>
      <c r="H19" s="483"/>
      <c r="I19" s="483"/>
      <c r="J19" s="484"/>
      <c r="K19" s="484"/>
      <c r="L19" s="484"/>
      <c r="M19" s="483"/>
      <c r="N19" s="483"/>
      <c r="O19" s="581"/>
      <c r="P19" s="600"/>
      <c r="Q19" s="42"/>
      <c r="R19" s="42"/>
      <c r="S19" s="3"/>
      <c r="T19" s="42"/>
      <c r="U19" s="42"/>
      <c r="V19" s="601"/>
    </row>
    <row r="20" spans="1:22" ht="13.5" customHeight="1">
      <c r="A20" s="548" t="s">
        <v>999</v>
      </c>
      <c r="B20" s="585"/>
      <c r="C20" s="48"/>
      <c r="D20" s="48" t="s">
        <v>1414</v>
      </c>
      <c r="E20" s="581"/>
      <c r="F20" s="481"/>
      <c r="G20" s="484"/>
      <c r="H20" s="483"/>
      <c r="I20" s="483"/>
      <c r="J20" s="484"/>
      <c r="K20" s="484"/>
      <c r="L20" s="484"/>
      <c r="M20" s="483"/>
      <c r="N20" s="483"/>
      <c r="O20" s="581"/>
      <c r="P20" s="600"/>
      <c r="Q20" s="42"/>
      <c r="R20" s="42"/>
      <c r="S20" s="3"/>
      <c r="T20" s="42"/>
      <c r="U20" s="42"/>
      <c r="V20" s="601"/>
    </row>
    <row r="21" spans="1:22" ht="13.5" customHeight="1">
      <c r="A21" s="548" t="s">
        <v>1030</v>
      </c>
      <c r="B21" s="585" t="s">
        <v>1656</v>
      </c>
      <c r="C21" s="550" t="s">
        <v>147</v>
      </c>
      <c r="D21" s="2"/>
      <c r="E21" s="275"/>
      <c r="F21" s="136"/>
      <c r="G21" s="49"/>
      <c r="H21" s="49"/>
      <c r="I21" s="49"/>
      <c r="J21" s="49"/>
      <c r="K21" s="49"/>
      <c r="L21" s="49"/>
      <c r="M21" s="49"/>
      <c r="N21" s="49"/>
      <c r="O21" s="581"/>
      <c r="P21" s="600"/>
      <c r="Q21" s="42"/>
      <c r="R21" s="42"/>
      <c r="S21" s="3"/>
      <c r="T21" s="42"/>
      <c r="U21" s="42"/>
      <c r="V21" s="601"/>
    </row>
    <row r="22" spans="1:22" ht="13.5" customHeight="1">
      <c r="A22" s="548" t="s">
        <v>1033</v>
      </c>
      <c r="B22" s="602"/>
      <c r="C22" s="212"/>
      <c r="D22" s="48" t="s">
        <v>1084</v>
      </c>
      <c r="E22" s="275">
        <f>SUM(F22:N22)</f>
        <v>215040</v>
      </c>
      <c r="F22" s="136">
        <f>4568+1800+50535</f>
        <v>56903</v>
      </c>
      <c r="G22" s="49">
        <v>158137</v>
      </c>
      <c r="H22" s="49"/>
      <c r="I22" s="279"/>
      <c r="J22" s="49"/>
      <c r="K22" s="49"/>
      <c r="L22" s="49"/>
      <c r="M22" s="49"/>
      <c r="N22" s="49"/>
      <c r="O22" s="275">
        <f>SUM(P22:V22)</f>
        <v>322098</v>
      </c>
      <c r="P22" s="281">
        <v>35132</v>
      </c>
      <c r="Q22" s="49">
        <v>102791</v>
      </c>
      <c r="R22" s="49">
        <v>87662</v>
      </c>
      <c r="S22" s="136">
        <v>7934</v>
      </c>
      <c r="T22" s="49">
        <v>6000</v>
      </c>
      <c r="U22" s="49">
        <f>81079+1500</f>
        <v>82579</v>
      </c>
      <c r="V22" s="365"/>
    </row>
    <row r="23" spans="1:22" ht="13.5" customHeight="1">
      <c r="A23" s="548" t="s">
        <v>1036</v>
      </c>
      <c r="B23" s="585"/>
      <c r="C23" s="550"/>
      <c r="D23" s="48" t="s">
        <v>978</v>
      </c>
      <c r="E23" s="275">
        <f>SUM(F23:N23)</f>
        <v>425319</v>
      </c>
      <c r="F23" s="281">
        <v>6368</v>
      </c>
      <c r="G23" s="49">
        <v>122258</v>
      </c>
      <c r="H23" s="49"/>
      <c r="I23" s="49"/>
      <c r="J23" s="49"/>
      <c r="K23" s="49"/>
      <c r="L23" s="49">
        <v>90263</v>
      </c>
      <c r="M23" s="56">
        <v>61749</v>
      </c>
      <c r="N23" s="280">
        <v>144681</v>
      </c>
      <c r="O23" s="136">
        <f>SUM(P23:V23)</f>
        <v>533791</v>
      </c>
      <c r="P23" s="281">
        <v>46666</v>
      </c>
      <c r="Q23" s="49">
        <v>129676</v>
      </c>
      <c r="R23" s="49">
        <v>25440</v>
      </c>
      <c r="S23" s="136">
        <v>7934</v>
      </c>
      <c r="T23" s="49">
        <v>27610</v>
      </c>
      <c r="U23" s="49"/>
      <c r="V23" s="365">
        <v>296465</v>
      </c>
    </row>
    <row r="24" spans="1:22" ht="13.5" customHeight="1">
      <c r="A24" s="548" t="s">
        <v>1039</v>
      </c>
      <c r="B24" s="585"/>
      <c r="C24" s="550"/>
      <c r="D24" s="48" t="s">
        <v>979</v>
      </c>
      <c r="E24" s="275">
        <f>SUM(F24:N24)</f>
        <v>338457</v>
      </c>
      <c r="F24" s="281">
        <f>5221+9087+1387</f>
        <v>15695</v>
      </c>
      <c r="G24" s="49">
        <f>44489+56236+14172+14117</f>
        <v>129014</v>
      </c>
      <c r="H24" s="49">
        <v>6001</v>
      </c>
      <c r="I24" s="49"/>
      <c r="J24" s="49"/>
      <c r="K24" s="49"/>
      <c r="L24" s="49">
        <f>90263+35735</f>
        <v>125998</v>
      </c>
      <c r="M24" s="56">
        <v>61749</v>
      </c>
      <c r="N24" s="280"/>
      <c r="O24" s="302">
        <f>SUM(P24:V24)</f>
        <v>519690</v>
      </c>
      <c r="P24" s="281">
        <v>46666</v>
      </c>
      <c r="Q24" s="49">
        <v>128352</v>
      </c>
      <c r="R24" s="49">
        <f>757+3000+8697+11132</f>
        <v>23586</v>
      </c>
      <c r="S24" s="49"/>
      <c r="T24" s="49">
        <v>24621</v>
      </c>
      <c r="U24" s="49"/>
      <c r="V24" s="365">
        <v>296465</v>
      </c>
    </row>
    <row r="25" spans="1:22" ht="13.5" customHeight="1">
      <c r="A25" s="548" t="s">
        <v>1042</v>
      </c>
      <c r="B25" s="585"/>
      <c r="C25" s="550"/>
      <c r="D25" s="48" t="s">
        <v>1414</v>
      </c>
      <c r="E25" s="289">
        <f aca="true" t="shared" si="0" ref="E25:M25">ROUND(100*E24/E23,1)</f>
        <v>79.6</v>
      </c>
      <c r="F25" s="391">
        <f t="shared" si="0"/>
        <v>246.5</v>
      </c>
      <c r="G25" s="50">
        <f t="shared" si="0"/>
        <v>105.5</v>
      </c>
      <c r="H25" s="50"/>
      <c r="I25" s="50"/>
      <c r="J25" s="50"/>
      <c r="K25" s="50"/>
      <c r="L25" s="50">
        <f t="shared" si="0"/>
        <v>139.6</v>
      </c>
      <c r="M25" s="50">
        <f t="shared" si="0"/>
        <v>100</v>
      </c>
      <c r="N25" s="291"/>
      <c r="O25" s="402">
        <f>ROUND(100*O24/O23,1)</f>
        <v>97.4</v>
      </c>
      <c r="P25" s="391">
        <f>ROUND(100*P24/P23,1)</f>
        <v>100</v>
      </c>
      <c r="Q25" s="50">
        <f>ROUND(100*Q24/Q23,1)</f>
        <v>99</v>
      </c>
      <c r="R25" s="50">
        <f>ROUND(100*R24/R23,1)</f>
        <v>92.7</v>
      </c>
      <c r="S25" s="50"/>
      <c r="T25" s="50">
        <f>ROUND(100*T24/T23,1)</f>
        <v>89.2</v>
      </c>
      <c r="U25" s="50"/>
      <c r="V25" s="603">
        <f>ROUND(100*V24/V23,1)</f>
        <v>100</v>
      </c>
    </row>
    <row r="26" spans="1:22" ht="13.5" customHeight="1">
      <c r="A26" s="548" t="s">
        <v>1074</v>
      </c>
      <c r="B26" s="585" t="s">
        <v>1660</v>
      </c>
      <c r="C26" s="550" t="s">
        <v>1661</v>
      </c>
      <c r="D26" s="48"/>
      <c r="E26" s="275"/>
      <c r="F26" s="281"/>
      <c r="G26" s="49"/>
      <c r="H26" s="49"/>
      <c r="I26" s="49"/>
      <c r="J26" s="49"/>
      <c r="K26" s="49"/>
      <c r="L26" s="49"/>
      <c r="M26" s="56"/>
      <c r="N26" s="280"/>
      <c r="O26" s="136"/>
      <c r="P26" s="281"/>
      <c r="Q26" s="49"/>
      <c r="R26" s="49"/>
      <c r="S26" s="49"/>
      <c r="T26" s="49"/>
      <c r="U26" s="49"/>
      <c r="V26" s="444"/>
    </row>
    <row r="27" spans="1:22" ht="13.5" customHeight="1">
      <c r="A27" s="548" t="s">
        <v>1109</v>
      </c>
      <c r="B27" s="602"/>
      <c r="C27" s="212"/>
      <c r="D27" s="48" t="s">
        <v>1084</v>
      </c>
      <c r="E27" s="275">
        <f>SUM(F27:N27)</f>
        <v>107058</v>
      </c>
      <c r="F27" s="136"/>
      <c r="G27" s="49"/>
      <c r="H27" s="49"/>
      <c r="I27" s="279"/>
      <c r="J27" s="49">
        <v>4600</v>
      </c>
      <c r="K27" s="49">
        <v>20531</v>
      </c>
      <c r="L27" s="49"/>
      <c r="M27" s="49"/>
      <c r="N27" s="49">
        <v>81927</v>
      </c>
      <c r="O27" s="274"/>
      <c r="P27" s="281"/>
      <c r="Q27" s="49"/>
      <c r="R27" s="49"/>
      <c r="S27" s="49"/>
      <c r="T27" s="49"/>
      <c r="U27" s="49"/>
      <c r="V27" s="444"/>
    </row>
    <row r="28" spans="1:22" ht="13.5" customHeight="1">
      <c r="A28" s="548" t="s">
        <v>1111</v>
      </c>
      <c r="B28" s="585"/>
      <c r="C28" s="550"/>
      <c r="D28" s="48" t="s">
        <v>978</v>
      </c>
      <c r="E28" s="275">
        <f>SUM(F28:N28)</f>
        <v>86752</v>
      </c>
      <c r="F28" s="136">
        <v>2465</v>
      </c>
      <c r="G28" s="49"/>
      <c r="H28" s="49"/>
      <c r="I28" s="279"/>
      <c r="J28" s="49">
        <v>4742</v>
      </c>
      <c r="K28" s="49">
        <v>79545</v>
      </c>
      <c r="L28" s="49"/>
      <c r="M28" s="49"/>
      <c r="N28" s="49"/>
      <c r="O28" s="274">
        <f>SUM(P28:V28)</f>
        <v>0</v>
      </c>
      <c r="P28" s="281"/>
      <c r="Q28" s="49"/>
      <c r="R28" s="49"/>
      <c r="S28" s="136"/>
      <c r="T28" s="49"/>
      <c r="U28" s="49"/>
      <c r="V28" s="444"/>
    </row>
    <row r="29" spans="1:22" ht="13.5" customHeight="1">
      <c r="A29" s="548" t="s">
        <v>1146</v>
      </c>
      <c r="B29" s="585"/>
      <c r="C29" s="550"/>
      <c r="D29" s="48" t="s">
        <v>979</v>
      </c>
      <c r="E29" s="275">
        <f>SUM(F29:N29)</f>
        <v>86752</v>
      </c>
      <c r="F29" s="136">
        <v>2465</v>
      </c>
      <c r="G29" s="49"/>
      <c r="H29" s="49"/>
      <c r="I29" s="279"/>
      <c r="J29" s="49">
        <v>4742</v>
      </c>
      <c r="K29" s="49">
        <v>79545</v>
      </c>
      <c r="L29" s="49"/>
      <c r="M29" s="49"/>
      <c r="N29" s="49"/>
      <c r="O29" s="274">
        <f>SUM(P29:V29)</f>
        <v>0</v>
      </c>
      <c r="P29" s="281"/>
      <c r="Q29" s="49"/>
      <c r="R29" s="49"/>
      <c r="S29" s="136"/>
      <c r="T29" s="49"/>
      <c r="U29" s="49"/>
      <c r="V29" s="444"/>
    </row>
    <row r="30" spans="1:22" ht="13.5" customHeight="1">
      <c r="A30" s="548" t="s">
        <v>1148</v>
      </c>
      <c r="B30" s="585"/>
      <c r="C30" s="550"/>
      <c r="D30" s="48" t="s">
        <v>1414</v>
      </c>
      <c r="E30" s="289">
        <f>ROUND(100*E29/E28,1)</f>
        <v>100</v>
      </c>
      <c r="F30" s="394">
        <f>ROUND(100*F29/F28,1)</f>
        <v>100</v>
      </c>
      <c r="G30" s="49"/>
      <c r="H30" s="49"/>
      <c r="I30" s="279"/>
      <c r="J30" s="50">
        <f>ROUND(100*J29/J28,1)</f>
        <v>100</v>
      </c>
      <c r="K30" s="50">
        <f>ROUND(100*K29/K28,1)</f>
        <v>100</v>
      </c>
      <c r="L30" s="94"/>
      <c r="M30" s="94"/>
      <c r="N30" s="49">
        <f>SUM(N28:N29)</f>
        <v>0</v>
      </c>
      <c r="O30" s="301"/>
      <c r="P30" s="281"/>
      <c r="Q30" s="49"/>
      <c r="R30" s="49"/>
      <c r="S30" s="136"/>
      <c r="T30" s="49"/>
      <c r="U30" s="49"/>
      <c r="V30" s="444"/>
    </row>
    <row r="31" spans="1:22" ht="13.5" customHeight="1">
      <c r="A31" s="548" t="s">
        <v>1168</v>
      </c>
      <c r="B31" s="585" t="s">
        <v>1666</v>
      </c>
      <c r="C31" s="56" t="s">
        <v>1667</v>
      </c>
      <c r="E31" s="294"/>
      <c r="F31" s="136"/>
      <c r="G31" s="49"/>
      <c r="H31" s="49"/>
      <c r="I31" s="279"/>
      <c r="J31" s="49"/>
      <c r="K31" s="49"/>
      <c r="L31" s="94"/>
      <c r="M31" s="94"/>
      <c r="N31" s="49"/>
      <c r="O31" s="301"/>
      <c r="P31" s="281"/>
      <c r="Q31" s="49"/>
      <c r="R31" s="49"/>
      <c r="S31" s="136"/>
      <c r="T31" s="49"/>
      <c r="U31" s="49"/>
      <c r="V31" s="444"/>
    </row>
    <row r="32" spans="1:22" ht="13.5" customHeight="1">
      <c r="A32" s="548" t="s">
        <v>1228</v>
      </c>
      <c r="B32" s="585"/>
      <c r="C32" s="550"/>
      <c r="D32" s="48" t="s">
        <v>1084</v>
      </c>
      <c r="E32" s="294"/>
      <c r="F32" s="136"/>
      <c r="G32" s="49"/>
      <c r="H32" s="49"/>
      <c r="I32" s="279"/>
      <c r="J32" s="49"/>
      <c r="K32" s="49"/>
      <c r="L32" s="94"/>
      <c r="M32" s="94"/>
      <c r="N32" s="49"/>
      <c r="O32" s="301"/>
      <c r="P32" s="281"/>
      <c r="Q32" s="49"/>
      <c r="R32" s="49"/>
      <c r="S32" s="136"/>
      <c r="T32" s="49"/>
      <c r="U32" s="49"/>
      <c r="V32" s="444"/>
    </row>
    <row r="33" spans="1:22" ht="13.5" customHeight="1">
      <c r="A33" s="548" t="s">
        <v>1231</v>
      </c>
      <c r="B33" s="585"/>
      <c r="C33" s="550"/>
      <c r="D33" s="48" t="s">
        <v>978</v>
      </c>
      <c r="E33" s="294"/>
      <c r="F33" s="136"/>
      <c r="G33" s="49"/>
      <c r="H33" s="49"/>
      <c r="I33" s="279"/>
      <c r="J33" s="49"/>
      <c r="K33" s="49"/>
      <c r="L33" s="94"/>
      <c r="M33" s="94"/>
      <c r="N33" s="49"/>
      <c r="O33" s="301">
        <f>SUM(P33:V33)</f>
        <v>7934</v>
      </c>
      <c r="P33" s="281"/>
      <c r="Q33" s="49"/>
      <c r="R33" s="49"/>
      <c r="S33" s="136">
        <v>7934</v>
      </c>
      <c r="T33" s="49"/>
      <c r="U33" s="49"/>
      <c r="V33" s="444"/>
    </row>
    <row r="34" spans="1:22" ht="13.5" customHeight="1">
      <c r="A34" s="548" t="s">
        <v>1234</v>
      </c>
      <c r="B34" s="585"/>
      <c r="C34" s="550"/>
      <c r="D34" s="48" t="s">
        <v>979</v>
      </c>
      <c r="E34" s="294"/>
      <c r="F34" s="136"/>
      <c r="G34" s="49"/>
      <c r="H34" s="49"/>
      <c r="I34" s="279"/>
      <c r="J34" s="49"/>
      <c r="K34" s="49"/>
      <c r="L34" s="94"/>
      <c r="M34" s="94"/>
      <c r="N34" s="49"/>
      <c r="O34" s="301"/>
      <c r="P34" s="281"/>
      <c r="Q34" s="49"/>
      <c r="R34" s="49"/>
      <c r="S34" s="136"/>
      <c r="T34" s="49"/>
      <c r="U34" s="49"/>
      <c r="V34" s="444"/>
    </row>
    <row r="35" spans="1:22" ht="13.5" customHeight="1">
      <c r="A35" s="548" t="s">
        <v>1237</v>
      </c>
      <c r="B35" s="585"/>
      <c r="C35" s="550"/>
      <c r="D35" s="48" t="s">
        <v>1414</v>
      </c>
      <c r="E35" s="294"/>
      <c r="F35" s="136"/>
      <c r="G35" s="49"/>
      <c r="H35" s="49"/>
      <c r="I35" s="279"/>
      <c r="J35" s="49"/>
      <c r="K35" s="49"/>
      <c r="L35" s="94"/>
      <c r="M35" s="94"/>
      <c r="N35" s="49"/>
      <c r="O35" s="301"/>
      <c r="P35" s="281"/>
      <c r="Q35" s="49"/>
      <c r="R35" s="49"/>
      <c r="S35" s="136"/>
      <c r="T35" s="49"/>
      <c r="U35" s="49"/>
      <c r="V35" s="444"/>
    </row>
    <row r="36" spans="1:22" ht="13.5" customHeight="1">
      <c r="A36" s="548" t="s">
        <v>1169</v>
      </c>
      <c r="B36" s="585" t="s">
        <v>1672</v>
      </c>
      <c r="C36" s="550" t="s">
        <v>1673</v>
      </c>
      <c r="D36" s="48"/>
      <c r="E36" s="294"/>
      <c r="F36" s="136"/>
      <c r="G36" s="49"/>
      <c r="H36" s="49"/>
      <c r="I36" s="279"/>
      <c r="J36" s="94"/>
      <c r="K36" s="94"/>
      <c r="L36" s="94"/>
      <c r="M36" s="94"/>
      <c r="N36" s="94"/>
      <c r="O36" s="274"/>
      <c r="P36" s="281"/>
      <c r="Q36" s="49"/>
      <c r="R36" s="49"/>
      <c r="S36" s="136"/>
      <c r="T36" s="49"/>
      <c r="U36" s="49"/>
      <c r="V36" s="444"/>
    </row>
    <row r="37" spans="1:22" ht="13.5" customHeight="1">
      <c r="A37" s="548" t="s">
        <v>1258</v>
      </c>
      <c r="B37" s="602"/>
      <c r="C37" s="212"/>
      <c r="D37" s="48" t="s">
        <v>1084</v>
      </c>
      <c r="E37" s="294"/>
      <c r="F37" s="136"/>
      <c r="G37" s="49"/>
      <c r="H37" s="49"/>
      <c r="I37" s="279"/>
      <c r="J37" s="94"/>
      <c r="K37" s="94"/>
      <c r="L37" s="94"/>
      <c r="M37" s="94"/>
      <c r="N37" s="94"/>
      <c r="O37" s="274"/>
      <c r="P37" s="281"/>
      <c r="Q37" s="49"/>
      <c r="R37" s="49"/>
      <c r="S37" s="136"/>
      <c r="T37" s="49"/>
      <c r="U37" s="49"/>
      <c r="V37" s="444"/>
    </row>
    <row r="38" spans="1:22" ht="13.5" customHeight="1">
      <c r="A38" s="548" t="s">
        <v>1260</v>
      </c>
      <c r="B38" s="585"/>
      <c r="C38" s="550"/>
      <c r="D38" s="48" t="s">
        <v>978</v>
      </c>
      <c r="E38" s="294"/>
      <c r="F38" s="136"/>
      <c r="G38" s="49"/>
      <c r="H38" s="49"/>
      <c r="I38" s="279"/>
      <c r="J38" s="94"/>
      <c r="K38" s="94"/>
      <c r="L38" s="94"/>
      <c r="M38" s="94"/>
      <c r="N38" s="94"/>
      <c r="O38" s="274">
        <f>SUM(P38:V38)</f>
        <v>14015</v>
      </c>
      <c r="P38" s="281"/>
      <c r="Q38" s="49"/>
      <c r="R38" s="49">
        <v>14015</v>
      </c>
      <c r="S38" s="136"/>
      <c r="T38" s="49"/>
      <c r="U38" s="49"/>
      <c r="V38" s="444"/>
    </row>
    <row r="39" spans="1:22" ht="13.5" customHeight="1">
      <c r="A39" s="548" t="s">
        <v>1262</v>
      </c>
      <c r="B39" s="585"/>
      <c r="C39" s="550"/>
      <c r="D39" s="48" t="s">
        <v>979</v>
      </c>
      <c r="E39" s="294"/>
      <c r="F39" s="136"/>
      <c r="G39" s="49"/>
      <c r="H39" s="49"/>
      <c r="I39" s="279"/>
      <c r="J39" s="94"/>
      <c r="K39" s="94"/>
      <c r="L39" s="94"/>
      <c r="M39" s="94"/>
      <c r="N39" s="94"/>
      <c r="O39" s="301">
        <f>SUM(P39:V39)</f>
        <v>14015</v>
      </c>
      <c r="P39" s="281"/>
      <c r="Q39" s="49"/>
      <c r="R39" s="49">
        <v>14015</v>
      </c>
      <c r="S39" s="136"/>
      <c r="T39" s="49"/>
      <c r="U39" s="49"/>
      <c r="V39" s="444"/>
    </row>
    <row r="40" spans="1:22" ht="13.5" customHeight="1">
      <c r="A40" s="548" t="s">
        <v>1264</v>
      </c>
      <c r="B40" s="585"/>
      <c r="C40" s="550"/>
      <c r="D40" s="48" t="s">
        <v>1414</v>
      </c>
      <c r="E40" s="294"/>
      <c r="F40" s="136"/>
      <c r="G40" s="49"/>
      <c r="H40" s="49"/>
      <c r="I40" s="279"/>
      <c r="J40" s="94"/>
      <c r="K40" s="94"/>
      <c r="L40" s="94"/>
      <c r="M40" s="94"/>
      <c r="N40" s="94"/>
      <c r="O40" s="604">
        <f>ROUND(100*O39/O38,1)</f>
        <v>100</v>
      </c>
      <c r="P40" s="281"/>
      <c r="Q40" s="49"/>
      <c r="R40" s="50">
        <f>ROUND(100*R39/R38,1)</f>
        <v>100</v>
      </c>
      <c r="S40" s="136"/>
      <c r="T40" s="49"/>
      <c r="U40" s="49"/>
      <c r="V40" s="444"/>
    </row>
    <row r="41" spans="1:22" ht="13.5" customHeight="1">
      <c r="A41" s="548" t="s">
        <v>1175</v>
      </c>
      <c r="B41" s="585" t="s">
        <v>148</v>
      </c>
      <c r="C41" s="550" t="s">
        <v>1274</v>
      </c>
      <c r="D41" s="48"/>
      <c r="E41" s="294"/>
      <c r="F41" s="136"/>
      <c r="G41" s="49"/>
      <c r="H41" s="49"/>
      <c r="I41" s="279"/>
      <c r="J41" s="94"/>
      <c r="K41" s="94"/>
      <c r="L41" s="94"/>
      <c r="M41" s="94"/>
      <c r="N41" s="94"/>
      <c r="O41" s="274"/>
      <c r="P41" s="281"/>
      <c r="Q41" s="49"/>
      <c r="R41" s="49"/>
      <c r="S41" s="136"/>
      <c r="T41" s="49"/>
      <c r="U41" s="49"/>
      <c r="V41" s="444"/>
    </row>
    <row r="42" spans="1:22" ht="13.5" customHeight="1">
      <c r="A42" s="548" t="s">
        <v>1284</v>
      </c>
      <c r="B42" s="602"/>
      <c r="C42" s="212"/>
      <c r="D42" s="48" t="s">
        <v>1084</v>
      </c>
      <c r="E42" s="294"/>
      <c r="F42" s="136"/>
      <c r="G42" s="49"/>
      <c r="H42" s="49"/>
      <c r="I42" s="279"/>
      <c r="J42" s="94"/>
      <c r="K42" s="94"/>
      <c r="L42" s="94"/>
      <c r="M42" s="94"/>
      <c r="N42" s="94"/>
      <c r="O42" s="274"/>
      <c r="P42" s="281"/>
      <c r="Q42" s="49"/>
      <c r="R42" s="49"/>
      <c r="S42" s="136"/>
      <c r="T42" s="49"/>
      <c r="U42" s="49"/>
      <c r="V42" s="444"/>
    </row>
    <row r="43" spans="1:22" ht="13.5" customHeight="1">
      <c r="A43" s="548" t="s">
        <v>1286</v>
      </c>
      <c r="B43" s="585"/>
      <c r="C43" s="550"/>
      <c r="D43" s="48" t="s">
        <v>978</v>
      </c>
      <c r="E43" s="275">
        <f>SUM(F43:N43)</f>
        <v>11054</v>
      </c>
      <c r="F43" s="136"/>
      <c r="G43" s="49">
        <v>9586</v>
      </c>
      <c r="H43" s="49"/>
      <c r="I43" s="279"/>
      <c r="J43" s="94"/>
      <c r="K43" s="94"/>
      <c r="L43" s="49">
        <v>1468</v>
      </c>
      <c r="M43" s="94"/>
      <c r="N43" s="94"/>
      <c r="O43" s="274">
        <f>SUM(P43:V43)</f>
        <v>11054</v>
      </c>
      <c r="P43" s="281"/>
      <c r="Q43" s="49"/>
      <c r="R43" s="49">
        <v>11054</v>
      </c>
      <c r="S43" s="136"/>
      <c r="T43" s="49"/>
      <c r="U43" s="49"/>
      <c r="V43" s="444"/>
    </row>
    <row r="44" spans="1:22" ht="13.5" customHeight="1">
      <c r="A44" s="548" t="s">
        <v>1288</v>
      </c>
      <c r="B44" s="585"/>
      <c r="C44" s="550"/>
      <c r="D44" s="48" t="s">
        <v>979</v>
      </c>
      <c r="E44" s="275">
        <f>SUM(F44:N44)</f>
        <v>11053</v>
      </c>
      <c r="F44" s="136"/>
      <c r="G44" s="49">
        <v>9585</v>
      </c>
      <c r="H44" s="49"/>
      <c r="I44" s="279"/>
      <c r="J44" s="94"/>
      <c r="K44" s="94"/>
      <c r="L44" s="49">
        <v>1468</v>
      </c>
      <c r="M44" s="49"/>
      <c r="N44" s="94"/>
      <c r="O44" s="301">
        <f>SUM(P44:V44)</f>
        <v>11054</v>
      </c>
      <c r="P44" s="281"/>
      <c r="Q44" s="49"/>
      <c r="R44" s="49">
        <v>11054</v>
      </c>
      <c r="S44" s="136"/>
      <c r="T44" s="49"/>
      <c r="U44" s="49"/>
      <c r="V44" s="444"/>
    </row>
    <row r="45" spans="1:22" ht="13.5" customHeight="1">
      <c r="A45" s="548" t="s">
        <v>1291</v>
      </c>
      <c r="B45" s="585"/>
      <c r="C45" s="550"/>
      <c r="D45" s="48" t="s">
        <v>1414</v>
      </c>
      <c r="E45" s="289">
        <f>ROUND(100*E44/E43,1)</f>
        <v>100</v>
      </c>
      <c r="F45" s="136"/>
      <c r="G45" s="50">
        <f>ROUND(100*G44/G43,1)</f>
        <v>100</v>
      </c>
      <c r="H45" s="49"/>
      <c r="I45" s="279"/>
      <c r="J45" s="94"/>
      <c r="K45" s="94"/>
      <c r="L45" s="50">
        <f>ROUND(100*L44/L43,1)</f>
        <v>100</v>
      </c>
      <c r="M45" s="94"/>
      <c r="N45" s="94"/>
      <c r="O45" s="604">
        <f>ROUND(100*O44/O43,1)</f>
        <v>100</v>
      </c>
      <c r="P45" s="281"/>
      <c r="Q45" s="49"/>
      <c r="R45" s="50">
        <f>ROUND(100*R44/R43,1)</f>
        <v>100</v>
      </c>
      <c r="S45" s="136"/>
      <c r="T45" s="49"/>
      <c r="U45" s="49"/>
      <c r="V45" s="444"/>
    </row>
    <row r="46" spans="1:22" ht="13.5" customHeight="1">
      <c r="A46" s="548" t="s">
        <v>1172</v>
      </c>
      <c r="B46" s="585" t="s">
        <v>127</v>
      </c>
      <c r="C46" s="550" t="s">
        <v>128</v>
      </c>
      <c r="D46" s="48"/>
      <c r="E46" s="294"/>
      <c r="F46" s="136"/>
      <c r="G46" s="94"/>
      <c r="H46" s="49"/>
      <c r="I46" s="279"/>
      <c r="J46" s="94"/>
      <c r="K46" s="94"/>
      <c r="L46" s="94"/>
      <c r="M46" s="94"/>
      <c r="N46" s="94"/>
      <c r="O46" s="301"/>
      <c r="P46" s="281"/>
      <c r="Q46" s="49"/>
      <c r="R46" s="49"/>
      <c r="S46" s="136"/>
      <c r="T46" s="49"/>
      <c r="U46" s="49"/>
      <c r="V46" s="444"/>
    </row>
    <row r="47" spans="1:22" ht="13.5" customHeight="1">
      <c r="A47" s="548" t="s">
        <v>1652</v>
      </c>
      <c r="B47" s="602"/>
      <c r="C47" s="212"/>
      <c r="D47" s="48" t="s">
        <v>1084</v>
      </c>
      <c r="E47" s="294"/>
      <c r="F47" s="136"/>
      <c r="G47" s="94"/>
      <c r="H47" s="49"/>
      <c r="I47" s="279"/>
      <c r="J47" s="94"/>
      <c r="K47" s="94"/>
      <c r="L47" s="94"/>
      <c r="M47" s="94"/>
      <c r="N47" s="94"/>
      <c r="O47" s="301"/>
      <c r="P47" s="281"/>
      <c r="Q47" s="49"/>
      <c r="R47" s="49"/>
      <c r="S47" s="136"/>
      <c r="T47" s="49"/>
      <c r="U47" s="49"/>
      <c r="V47" s="444"/>
    </row>
    <row r="48" spans="1:22" ht="13.5" customHeight="1">
      <c r="A48" s="548" t="s">
        <v>1653</v>
      </c>
      <c r="B48" s="585"/>
      <c r="C48" s="550"/>
      <c r="D48" s="48" t="s">
        <v>978</v>
      </c>
      <c r="E48" s="275">
        <f>SUM(F48:N48)</f>
        <v>35735</v>
      </c>
      <c r="F48" s="136"/>
      <c r="G48" s="94"/>
      <c r="H48" s="49"/>
      <c r="I48" s="279"/>
      <c r="J48" s="94"/>
      <c r="K48" s="94"/>
      <c r="L48" s="49">
        <v>35735</v>
      </c>
      <c r="M48" s="94"/>
      <c r="N48" s="94"/>
      <c r="O48" s="301">
        <f>SUM(P48:V48)</f>
        <v>0</v>
      </c>
      <c r="P48" s="281"/>
      <c r="Q48" s="49"/>
      <c r="R48" s="49"/>
      <c r="S48" s="136"/>
      <c r="T48" s="49"/>
      <c r="U48" s="49"/>
      <c r="V48" s="444"/>
    </row>
    <row r="49" spans="1:22" ht="13.5" customHeight="1">
      <c r="A49" s="548" t="s">
        <v>1654</v>
      </c>
      <c r="B49" s="585"/>
      <c r="C49" s="550"/>
      <c r="D49" s="48" t="s">
        <v>979</v>
      </c>
      <c r="E49" s="275">
        <f>SUM(F49:N49)</f>
        <v>0</v>
      </c>
      <c r="F49" s="136"/>
      <c r="G49" s="94"/>
      <c r="H49" s="49"/>
      <c r="I49" s="279"/>
      <c r="J49" s="94"/>
      <c r="K49" s="94"/>
      <c r="L49" s="49"/>
      <c r="M49" s="49"/>
      <c r="N49" s="94"/>
      <c r="O49" s="274">
        <f>SUM(P49:V49)</f>
        <v>0</v>
      </c>
      <c r="P49" s="281"/>
      <c r="Q49" s="49"/>
      <c r="R49" s="49"/>
      <c r="S49" s="136"/>
      <c r="T49" s="49"/>
      <c r="U49" s="49"/>
      <c r="V49" s="444"/>
    </row>
    <row r="50" spans="1:22" ht="13.5" customHeight="1">
      <c r="A50" s="548" t="s">
        <v>1655</v>
      </c>
      <c r="B50" s="585"/>
      <c r="C50" s="550"/>
      <c r="D50" s="48" t="s">
        <v>1414</v>
      </c>
      <c r="E50" s="289"/>
      <c r="F50" s="136"/>
      <c r="G50" s="94"/>
      <c r="H50" s="49"/>
      <c r="I50" s="279"/>
      <c r="J50" s="94"/>
      <c r="K50" s="94"/>
      <c r="L50" s="50"/>
      <c r="M50" s="94"/>
      <c r="N50" s="94"/>
      <c r="O50" s="301"/>
      <c r="P50" s="281"/>
      <c r="Q50" s="49"/>
      <c r="R50" s="49"/>
      <c r="S50" s="136"/>
      <c r="T50" s="49"/>
      <c r="U50" s="49"/>
      <c r="V50" s="444"/>
    </row>
    <row r="51" spans="1:22" ht="13.5" customHeight="1">
      <c r="A51" s="605" t="s">
        <v>1180</v>
      </c>
      <c r="B51" s="606"/>
      <c r="C51" s="607" t="s">
        <v>1302</v>
      </c>
      <c r="D51" s="296"/>
      <c r="E51" s="297"/>
      <c r="F51" s="383"/>
      <c r="G51" s="386"/>
      <c r="H51" s="386"/>
      <c r="I51" s="385"/>
      <c r="J51" s="386"/>
      <c r="K51" s="386"/>
      <c r="L51" s="386"/>
      <c r="M51" s="386"/>
      <c r="N51" s="386"/>
      <c r="O51" s="298"/>
      <c r="P51" s="387"/>
      <c r="Q51" s="386"/>
      <c r="R51" s="386"/>
      <c r="S51" s="383"/>
      <c r="T51" s="386"/>
      <c r="U51" s="386"/>
      <c r="V51" s="608"/>
    </row>
    <row r="52" spans="1:22" ht="13.5" customHeight="1">
      <c r="A52" s="548" t="s">
        <v>1296</v>
      </c>
      <c r="B52" s="585"/>
      <c r="D52" s="48" t="s">
        <v>1084</v>
      </c>
      <c r="E52" s="275">
        <f>SUM(F52:N52)</f>
        <v>322098</v>
      </c>
      <c r="F52" s="136">
        <f>SUM(F47,F42,F37,F27,F22)</f>
        <v>56903</v>
      </c>
      <c r="G52" s="49">
        <f>SUM(G47,G42,G37,G27,G22)</f>
        <v>158137</v>
      </c>
      <c r="H52" s="49">
        <f aca="true" t="shared" si="1" ref="H52:M52">SUM(H47,H42,H37,H27,H22)</f>
        <v>0</v>
      </c>
      <c r="I52" s="279">
        <f t="shared" si="1"/>
        <v>0</v>
      </c>
      <c r="J52" s="49">
        <f t="shared" si="1"/>
        <v>4600</v>
      </c>
      <c r="K52" s="49">
        <f t="shared" si="1"/>
        <v>20531</v>
      </c>
      <c r="L52" s="49">
        <f t="shared" si="1"/>
        <v>0</v>
      </c>
      <c r="M52" s="49">
        <f t="shared" si="1"/>
        <v>0</v>
      </c>
      <c r="N52" s="49">
        <f>SUM(N47,N42,N37,N27,N22)</f>
        <v>81927</v>
      </c>
      <c r="O52" s="274">
        <f>SUM(P52:V52)</f>
        <v>322098</v>
      </c>
      <c r="P52" s="281">
        <f aca="true" t="shared" si="2" ref="P52:V52">SUM(P47,P42,P37,P27,P22)</f>
        <v>35132</v>
      </c>
      <c r="Q52" s="49">
        <f t="shared" si="2"/>
        <v>102791</v>
      </c>
      <c r="R52" s="49">
        <f t="shared" si="2"/>
        <v>87662</v>
      </c>
      <c r="S52" s="136">
        <f t="shared" si="2"/>
        <v>7934</v>
      </c>
      <c r="T52" s="49">
        <f t="shared" si="2"/>
        <v>6000</v>
      </c>
      <c r="U52" s="49">
        <f t="shared" si="2"/>
        <v>82579</v>
      </c>
      <c r="V52" s="444">
        <f t="shared" si="2"/>
        <v>0</v>
      </c>
    </row>
    <row r="53" spans="1:22" ht="13.5" customHeight="1">
      <c r="A53" s="548" t="s">
        <v>1298</v>
      </c>
      <c r="B53" s="585"/>
      <c r="C53" s="609"/>
      <c r="D53" s="48" t="s">
        <v>978</v>
      </c>
      <c r="E53" s="275">
        <f>SUM(F53:N53)</f>
        <v>558860</v>
      </c>
      <c r="F53" s="136">
        <f aca="true" t="shared" si="3" ref="F53:N53">SUM(F48,F43,F38,F28,F23)</f>
        <v>8833</v>
      </c>
      <c r="G53" s="49">
        <f t="shared" si="3"/>
        <v>131844</v>
      </c>
      <c r="H53" s="49">
        <f t="shared" si="3"/>
        <v>0</v>
      </c>
      <c r="I53" s="279">
        <f t="shared" si="3"/>
        <v>0</v>
      </c>
      <c r="J53" s="49">
        <f t="shared" si="3"/>
        <v>4742</v>
      </c>
      <c r="K53" s="49">
        <f t="shared" si="3"/>
        <v>79545</v>
      </c>
      <c r="L53" s="49">
        <f t="shared" si="3"/>
        <v>127466</v>
      </c>
      <c r="M53" s="49">
        <f t="shared" si="3"/>
        <v>61749</v>
      </c>
      <c r="N53" s="49">
        <f t="shared" si="3"/>
        <v>144681</v>
      </c>
      <c r="O53" s="274">
        <f>SUM(P53:V53)</f>
        <v>558860</v>
      </c>
      <c r="P53" s="281">
        <f aca="true" t="shared" si="4" ref="P53:V53">SUM(P48,P43,P38,P28,P23)</f>
        <v>46666</v>
      </c>
      <c r="Q53" s="49">
        <f t="shared" si="4"/>
        <v>129676</v>
      </c>
      <c r="R53" s="49">
        <f t="shared" si="4"/>
        <v>50509</v>
      </c>
      <c r="S53" s="136">
        <f t="shared" si="4"/>
        <v>7934</v>
      </c>
      <c r="T53" s="49">
        <f t="shared" si="4"/>
        <v>27610</v>
      </c>
      <c r="U53" s="49">
        <f t="shared" si="4"/>
        <v>0</v>
      </c>
      <c r="V53" s="365">
        <f t="shared" si="4"/>
        <v>296465</v>
      </c>
    </row>
    <row r="54" spans="1:22" ht="13.5" customHeight="1">
      <c r="A54" s="548" t="s">
        <v>1658</v>
      </c>
      <c r="B54" s="585"/>
      <c r="C54" s="48"/>
      <c r="D54" s="48" t="s">
        <v>979</v>
      </c>
      <c r="E54" s="294">
        <f>SUM(F54:N54)</f>
        <v>436262</v>
      </c>
      <c r="F54" s="136">
        <f aca="true" t="shared" si="5" ref="F54:N54">SUM(F49,F44,F39,F29,F24,F34,F19)</f>
        <v>18160</v>
      </c>
      <c r="G54" s="49">
        <f t="shared" si="5"/>
        <v>138599</v>
      </c>
      <c r="H54" s="49">
        <f t="shared" si="5"/>
        <v>6001</v>
      </c>
      <c r="I54" s="279">
        <f t="shared" si="5"/>
        <v>0</v>
      </c>
      <c r="J54" s="49">
        <f t="shared" si="5"/>
        <v>4742</v>
      </c>
      <c r="K54" s="49">
        <f t="shared" si="5"/>
        <v>79545</v>
      </c>
      <c r="L54" s="49">
        <f t="shared" si="5"/>
        <v>127466</v>
      </c>
      <c r="M54" s="49">
        <f t="shared" si="5"/>
        <v>61749</v>
      </c>
      <c r="N54" s="49">
        <f t="shared" si="5"/>
        <v>0</v>
      </c>
      <c r="O54" s="301">
        <f>SUM(P54:V54)</f>
        <v>554017</v>
      </c>
      <c r="P54" s="281">
        <f aca="true" t="shared" si="6" ref="P54:V54">SUM(P49,P44,P39,P29,P24,P18,P33)</f>
        <v>46666</v>
      </c>
      <c r="Q54" s="49">
        <f t="shared" si="6"/>
        <v>129676</v>
      </c>
      <c r="R54" s="49">
        <f t="shared" si="6"/>
        <v>48655</v>
      </c>
      <c r="S54" s="136">
        <f t="shared" si="6"/>
        <v>7934</v>
      </c>
      <c r="T54" s="49">
        <f t="shared" si="6"/>
        <v>24621</v>
      </c>
      <c r="U54" s="49">
        <f t="shared" si="6"/>
        <v>0</v>
      </c>
      <c r="V54" s="365">
        <f t="shared" si="6"/>
        <v>296465</v>
      </c>
    </row>
    <row r="55" spans="1:22" ht="13.5" customHeight="1">
      <c r="A55" s="562" t="s">
        <v>1659</v>
      </c>
      <c r="B55" s="594"/>
      <c r="C55" s="235"/>
      <c r="D55" s="355" t="s">
        <v>1414</v>
      </c>
      <c r="E55" s="531">
        <f>ROUND(100*E54/E53,1)</f>
        <v>78.1</v>
      </c>
      <c r="F55" s="610">
        <f>ROUND(100*F54/F53,1)</f>
        <v>205.6</v>
      </c>
      <c r="G55" s="533">
        <f>ROUND(100*G54/G53,1)</f>
        <v>105.1</v>
      </c>
      <c r="H55" s="533"/>
      <c r="I55" s="611"/>
      <c r="J55" s="533">
        <f>ROUND(100*J54/J53,1)</f>
        <v>100</v>
      </c>
      <c r="K55" s="533">
        <f>ROUND(100*K54/K53,1)</f>
        <v>100</v>
      </c>
      <c r="L55" s="533">
        <f>ROUND(100*L54/L53,1)</f>
        <v>100</v>
      </c>
      <c r="M55" s="533">
        <f>ROUND(100*M54/M53,1)</f>
        <v>100</v>
      </c>
      <c r="N55" s="533"/>
      <c r="O55" s="531">
        <f aca="true" t="shared" si="7" ref="O55:V55">ROUND(100*O54/O53,1)</f>
        <v>99.1</v>
      </c>
      <c r="P55" s="532">
        <f t="shared" si="7"/>
        <v>100</v>
      </c>
      <c r="Q55" s="533">
        <f t="shared" si="7"/>
        <v>100</v>
      </c>
      <c r="R55" s="533">
        <f t="shared" si="7"/>
        <v>96.3</v>
      </c>
      <c r="S55" s="610">
        <f t="shared" si="7"/>
        <v>100</v>
      </c>
      <c r="T55" s="533">
        <f t="shared" si="7"/>
        <v>89.2</v>
      </c>
      <c r="U55" s="533"/>
      <c r="V55" s="331">
        <f t="shared" si="7"/>
        <v>100</v>
      </c>
    </row>
    <row r="56" ht="12.75" customHeight="1"/>
    <row r="59" ht="12.75">
      <c r="G59" s="101"/>
    </row>
    <row r="61" ht="12.75">
      <c r="R61" s="101"/>
    </row>
  </sheetData>
  <mergeCells count="3">
    <mergeCell ref="U1:V1"/>
    <mergeCell ref="A3:V3"/>
    <mergeCell ref="C7:D7"/>
  </mergeCells>
  <printOptions horizont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workbookViewId="0" topLeftCell="A1">
      <selection activeCell="H23" sqref="H23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2.421875" style="0" customWidth="1"/>
    <col min="4" max="6" width="8.7109375" style="0" customWidth="1"/>
    <col min="7" max="7" width="4.7109375" style="0" customWidth="1"/>
    <col min="8" max="14" width="10.57421875" style="0" customWidth="1"/>
    <col min="15" max="16" width="2.57421875" style="0" customWidth="1"/>
    <col min="17" max="19" width="8.7109375" style="0" customWidth="1"/>
    <col min="20" max="20" width="8.28125" style="0" customWidth="1"/>
    <col min="21" max="21" width="10.421875" style="0" customWidth="1"/>
    <col min="22" max="25" width="10.57421875" style="0" customWidth="1"/>
    <col min="26" max="26" width="11.140625" style="0" customWidth="1"/>
    <col min="27" max="28" width="10.57421875" style="0" customWidth="1"/>
  </cols>
  <sheetData>
    <row r="1" spans="1:28" ht="14.25">
      <c r="A1" s="612"/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3"/>
      <c r="V1" s="613"/>
      <c r="W1" s="613"/>
      <c r="X1" s="613"/>
      <c r="Y1" s="613"/>
      <c r="Z1" s="613"/>
      <c r="AA1" s="994" t="s">
        <v>149</v>
      </c>
      <c r="AB1" s="994"/>
    </row>
    <row r="2" spans="1:28" ht="14.25">
      <c r="A2" s="612"/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  <c r="X2" s="612"/>
      <c r="Y2" s="612"/>
      <c r="Z2" s="612"/>
      <c r="AA2" s="612"/>
      <c r="AB2" s="1"/>
    </row>
    <row r="3" spans="1:28" ht="15">
      <c r="A3" s="970" t="s">
        <v>150</v>
      </c>
      <c r="B3" s="970"/>
      <c r="C3" s="970"/>
      <c r="D3" s="970"/>
      <c r="E3" s="970"/>
      <c r="F3" s="970"/>
      <c r="G3" s="970"/>
      <c r="H3" s="970"/>
      <c r="I3" s="970"/>
      <c r="J3" s="970"/>
      <c r="K3" s="970"/>
      <c r="L3" s="970"/>
      <c r="M3" s="970"/>
      <c r="N3" s="970"/>
      <c r="O3" s="970"/>
      <c r="P3" s="970"/>
      <c r="Q3" s="970"/>
      <c r="R3" s="970"/>
      <c r="S3" s="970"/>
      <c r="T3" s="970"/>
      <c r="U3" s="970"/>
      <c r="V3" s="970"/>
      <c r="W3" s="970"/>
      <c r="X3" s="970"/>
      <c r="Y3" s="970"/>
      <c r="Z3" s="970"/>
      <c r="AA3" s="970"/>
      <c r="AB3" s="970"/>
    </row>
    <row r="4" spans="1:28" ht="15">
      <c r="A4" s="614"/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1"/>
    </row>
    <row r="5" spans="1:28" ht="15">
      <c r="A5" s="614"/>
      <c r="B5" s="615"/>
      <c r="C5" s="615"/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5"/>
      <c r="P5" s="615"/>
      <c r="Q5" s="615"/>
      <c r="R5" s="615"/>
      <c r="S5" s="615"/>
      <c r="T5" s="615"/>
      <c r="U5" s="613"/>
      <c r="V5" s="613"/>
      <c r="W5" s="613"/>
      <c r="X5" s="613"/>
      <c r="Y5" s="613"/>
      <c r="Z5" s="613"/>
      <c r="AA5" s="613"/>
      <c r="AB5" s="616" t="s">
        <v>1305</v>
      </c>
    </row>
    <row r="6" spans="1:28" ht="14.25">
      <c r="A6" s="971" t="s">
        <v>960</v>
      </c>
      <c r="B6" s="971"/>
      <c r="C6" s="971"/>
      <c r="D6" s="971"/>
      <c r="E6" s="971"/>
      <c r="F6" s="971"/>
      <c r="G6" s="971"/>
      <c r="H6" s="617" t="s">
        <v>961</v>
      </c>
      <c r="I6" s="617" t="s">
        <v>962</v>
      </c>
      <c r="J6" s="617" t="s">
        <v>963</v>
      </c>
      <c r="K6" s="617" t="s">
        <v>964</v>
      </c>
      <c r="L6" s="617" t="s">
        <v>965</v>
      </c>
      <c r="M6" s="617" t="s">
        <v>966</v>
      </c>
      <c r="N6" s="617" t="s">
        <v>967</v>
      </c>
      <c r="O6" s="618"/>
      <c r="P6" s="971" t="s">
        <v>968</v>
      </c>
      <c r="Q6" s="971"/>
      <c r="R6" s="971"/>
      <c r="S6" s="971"/>
      <c r="T6" s="971"/>
      <c r="U6" s="971"/>
      <c r="V6" s="617" t="s">
        <v>969</v>
      </c>
      <c r="W6" s="617" t="s">
        <v>970</v>
      </c>
      <c r="X6" s="617" t="s">
        <v>971</v>
      </c>
      <c r="Y6" s="617" t="s">
        <v>972</v>
      </c>
      <c r="Z6" s="617" t="s">
        <v>973</v>
      </c>
      <c r="AA6" s="617" t="s">
        <v>1480</v>
      </c>
      <c r="AB6" s="10" t="s">
        <v>1481</v>
      </c>
    </row>
    <row r="7" spans="1:28" ht="15">
      <c r="A7" s="619" t="s">
        <v>974</v>
      </c>
      <c r="B7" s="620"/>
      <c r="C7" s="620"/>
      <c r="D7" s="620"/>
      <c r="E7" s="620"/>
      <c r="F7" s="620"/>
      <c r="G7" s="620"/>
      <c r="H7" s="621" t="s">
        <v>975</v>
      </c>
      <c r="I7" s="621" t="s">
        <v>976</v>
      </c>
      <c r="J7" s="621" t="s">
        <v>976</v>
      </c>
      <c r="K7" s="621" t="s">
        <v>977</v>
      </c>
      <c r="L7" s="621" t="s">
        <v>978</v>
      </c>
      <c r="M7" s="621" t="s">
        <v>979</v>
      </c>
      <c r="N7" s="622" t="s">
        <v>979</v>
      </c>
      <c r="O7" s="623"/>
      <c r="P7" s="624" t="s">
        <v>980</v>
      </c>
      <c r="Q7" s="624"/>
      <c r="R7" s="624"/>
      <c r="S7" s="624"/>
      <c r="T7" s="624"/>
      <c r="U7" s="625"/>
      <c r="V7" s="621" t="s">
        <v>975</v>
      </c>
      <c r="W7" s="621" t="s">
        <v>976</v>
      </c>
      <c r="X7" s="621" t="s">
        <v>976</v>
      </c>
      <c r="Y7" s="621" t="s">
        <v>977</v>
      </c>
      <c r="Z7" s="622" t="s">
        <v>978</v>
      </c>
      <c r="AA7" s="622" t="s">
        <v>979</v>
      </c>
      <c r="AB7" s="115" t="s">
        <v>151</v>
      </c>
    </row>
    <row r="8" spans="1:28" ht="15">
      <c r="A8" s="626"/>
      <c r="B8" s="614"/>
      <c r="C8" s="614"/>
      <c r="D8" s="614"/>
      <c r="E8" s="614"/>
      <c r="F8" s="614"/>
      <c r="G8" s="614"/>
      <c r="H8" s="627" t="s">
        <v>981</v>
      </c>
      <c r="I8" s="627" t="s">
        <v>982</v>
      </c>
      <c r="J8" s="627" t="s">
        <v>981</v>
      </c>
      <c r="K8" s="627" t="s">
        <v>982</v>
      </c>
      <c r="L8" s="627" t="s">
        <v>983</v>
      </c>
      <c r="M8" s="627"/>
      <c r="N8" s="628" t="s">
        <v>984</v>
      </c>
      <c r="O8" s="629"/>
      <c r="P8" s="630"/>
      <c r="Q8" s="631"/>
      <c r="R8" s="631"/>
      <c r="S8" s="631"/>
      <c r="T8" s="631"/>
      <c r="U8" s="632"/>
      <c r="V8" s="627" t="s">
        <v>981</v>
      </c>
      <c r="W8" s="627" t="s">
        <v>982</v>
      </c>
      <c r="X8" s="627" t="s">
        <v>981</v>
      </c>
      <c r="Y8" s="627" t="s">
        <v>982</v>
      </c>
      <c r="Z8" s="628" t="s">
        <v>983</v>
      </c>
      <c r="AA8" s="627"/>
      <c r="AB8" s="123" t="s">
        <v>984</v>
      </c>
    </row>
    <row r="9" spans="1:28" ht="15">
      <c r="A9" s="626"/>
      <c r="B9" s="614"/>
      <c r="C9" s="614"/>
      <c r="D9" s="614"/>
      <c r="E9" s="614"/>
      <c r="F9" s="614"/>
      <c r="G9" s="614"/>
      <c r="H9" s="628"/>
      <c r="I9" s="627" t="s">
        <v>985</v>
      </c>
      <c r="J9" s="627"/>
      <c r="K9" s="627" t="s">
        <v>985</v>
      </c>
      <c r="L9" s="627"/>
      <c r="M9" s="627"/>
      <c r="N9" s="627"/>
      <c r="O9" s="629"/>
      <c r="P9" s="630"/>
      <c r="Q9" s="631"/>
      <c r="R9" s="631"/>
      <c r="S9" s="631"/>
      <c r="T9" s="631"/>
      <c r="U9" s="632"/>
      <c r="V9" s="627"/>
      <c r="W9" s="627" t="s">
        <v>985</v>
      </c>
      <c r="X9" s="627"/>
      <c r="Y9" s="627" t="s">
        <v>985</v>
      </c>
      <c r="Z9" s="627"/>
      <c r="AA9" s="627"/>
      <c r="AB9" s="633"/>
    </row>
    <row r="10" spans="1:28" ht="15">
      <c r="A10" s="626"/>
      <c r="B10" s="614"/>
      <c r="C10" s="614"/>
      <c r="D10" s="614"/>
      <c r="E10" s="614"/>
      <c r="F10" s="614"/>
      <c r="G10" s="614"/>
      <c r="H10" s="628"/>
      <c r="I10" s="627" t="s">
        <v>986</v>
      </c>
      <c r="J10" s="627"/>
      <c r="K10" s="627" t="s">
        <v>986</v>
      </c>
      <c r="L10" s="627"/>
      <c r="M10" s="627"/>
      <c r="N10" s="627"/>
      <c r="O10" s="629"/>
      <c r="P10" s="630"/>
      <c r="Q10" s="631"/>
      <c r="R10" s="631"/>
      <c r="S10" s="631"/>
      <c r="T10" s="631"/>
      <c r="U10" s="632"/>
      <c r="V10" s="627"/>
      <c r="W10" s="627" t="s">
        <v>986</v>
      </c>
      <c r="X10" s="627"/>
      <c r="Y10" s="627" t="s">
        <v>986</v>
      </c>
      <c r="Z10" s="627"/>
      <c r="AA10" s="627"/>
      <c r="AB10" s="634"/>
    </row>
    <row r="11" spans="1:28" ht="14.25">
      <c r="A11" s="635" t="s">
        <v>987</v>
      </c>
      <c r="B11" s="636" t="s">
        <v>988</v>
      </c>
      <c r="C11" s="636"/>
      <c r="D11" s="636"/>
      <c r="E11" s="636"/>
      <c r="F11" s="636"/>
      <c r="G11" s="636"/>
      <c r="H11" s="637"/>
      <c r="I11" s="637"/>
      <c r="J11" s="637"/>
      <c r="K11" s="637"/>
      <c r="L11" s="637"/>
      <c r="M11" s="637"/>
      <c r="N11" s="637"/>
      <c r="O11" s="638"/>
      <c r="P11" s="636" t="s">
        <v>987</v>
      </c>
      <c r="Q11" s="636" t="s">
        <v>989</v>
      </c>
      <c r="R11" s="636"/>
      <c r="S11" s="636"/>
      <c r="T11" s="636"/>
      <c r="U11" s="639"/>
      <c r="V11" s="40"/>
      <c r="W11" s="40"/>
      <c r="X11" s="40"/>
      <c r="Y11" s="40"/>
      <c r="Z11" s="40"/>
      <c r="AA11" s="40"/>
      <c r="AB11" s="633"/>
    </row>
    <row r="12" spans="1:28" ht="14.25">
      <c r="A12" s="993" t="s">
        <v>990</v>
      </c>
      <c r="B12" s="993"/>
      <c r="C12" s="612" t="s">
        <v>152</v>
      </c>
      <c r="D12" s="612"/>
      <c r="E12" s="612"/>
      <c r="F12" s="612"/>
      <c r="G12" s="612"/>
      <c r="H12" s="49">
        <v>1011</v>
      </c>
      <c r="I12" s="49"/>
      <c r="J12" s="49"/>
      <c r="K12" s="49"/>
      <c r="L12" s="49">
        <v>200</v>
      </c>
      <c r="M12" s="49"/>
      <c r="N12" s="49"/>
      <c r="O12" s="640"/>
      <c r="P12" s="612"/>
      <c r="Q12" s="641" t="s">
        <v>990</v>
      </c>
      <c r="R12" s="612" t="s">
        <v>992</v>
      </c>
      <c r="S12" s="612"/>
      <c r="T12" s="612"/>
      <c r="U12" s="642"/>
      <c r="V12" s="49">
        <v>713</v>
      </c>
      <c r="W12" s="49"/>
      <c r="X12" s="49"/>
      <c r="Y12" s="49"/>
      <c r="Z12" s="49">
        <v>50</v>
      </c>
      <c r="AA12" s="49"/>
      <c r="AB12" s="365"/>
    </row>
    <row r="13" spans="1:28" ht="14.25">
      <c r="A13" s="993" t="s">
        <v>993</v>
      </c>
      <c r="B13" s="993"/>
      <c r="C13" s="612" t="s">
        <v>153</v>
      </c>
      <c r="D13" s="612"/>
      <c r="E13" s="612"/>
      <c r="F13" s="612"/>
      <c r="G13" s="612"/>
      <c r="H13" s="49">
        <v>391</v>
      </c>
      <c r="I13" s="49"/>
      <c r="J13" s="49"/>
      <c r="K13" s="49"/>
      <c r="L13" s="49"/>
      <c r="M13" s="49"/>
      <c r="N13" s="49"/>
      <c r="O13" s="640"/>
      <c r="P13" s="612"/>
      <c r="Q13" s="641" t="s">
        <v>993</v>
      </c>
      <c r="R13" s="612" t="s">
        <v>995</v>
      </c>
      <c r="S13" s="612"/>
      <c r="T13" s="612"/>
      <c r="U13" s="642"/>
      <c r="V13" s="49">
        <v>102</v>
      </c>
      <c r="W13" s="49"/>
      <c r="X13" s="49"/>
      <c r="Y13" s="49"/>
      <c r="Z13" s="49">
        <v>12</v>
      </c>
      <c r="AA13" s="49"/>
      <c r="AB13" s="601"/>
    </row>
    <row r="14" spans="1:28" ht="14.25">
      <c r="A14" s="993" t="s">
        <v>996</v>
      </c>
      <c r="B14" s="993"/>
      <c r="C14" s="612" t="s">
        <v>154</v>
      </c>
      <c r="D14" s="612"/>
      <c r="E14" s="612"/>
      <c r="F14" s="612"/>
      <c r="G14" s="612"/>
      <c r="H14" s="49"/>
      <c r="I14" s="49"/>
      <c r="J14" s="49"/>
      <c r="K14" s="49"/>
      <c r="L14" s="49">
        <v>94</v>
      </c>
      <c r="M14" s="49">
        <v>94</v>
      </c>
      <c r="N14" s="50">
        <f>ROUND(100*M14/L14,1)</f>
        <v>100</v>
      </c>
      <c r="O14" s="643"/>
      <c r="P14" s="612"/>
      <c r="Q14" s="641" t="s">
        <v>996</v>
      </c>
      <c r="R14" s="612" t="s">
        <v>998</v>
      </c>
      <c r="S14" s="612"/>
      <c r="T14" s="612"/>
      <c r="U14" s="642"/>
      <c r="V14" s="49">
        <v>590</v>
      </c>
      <c r="W14" s="49"/>
      <c r="X14" s="49"/>
      <c r="Y14" s="49"/>
      <c r="Z14" s="49">
        <v>232</v>
      </c>
      <c r="AA14" s="49">
        <v>122</v>
      </c>
      <c r="AB14" s="644">
        <f>ROUND(100*AA14/Z14,1)</f>
        <v>52.6</v>
      </c>
    </row>
    <row r="15" spans="1:28" ht="14.25">
      <c r="A15" s="993" t="s">
        <v>999</v>
      </c>
      <c r="B15" s="993"/>
      <c r="C15" s="612" t="s">
        <v>155</v>
      </c>
      <c r="D15" s="612"/>
      <c r="E15" s="612"/>
      <c r="F15" s="612"/>
      <c r="G15" s="612"/>
      <c r="H15" s="49"/>
      <c r="I15" s="49"/>
      <c r="J15" s="49"/>
      <c r="K15" s="49"/>
      <c r="L15" s="49"/>
      <c r="M15" s="49"/>
      <c r="N15" s="49"/>
      <c r="O15" s="640"/>
      <c r="P15" s="612"/>
      <c r="Q15" s="641" t="s">
        <v>999</v>
      </c>
      <c r="R15" s="612" t="s">
        <v>156</v>
      </c>
      <c r="S15" s="612"/>
      <c r="T15" s="612"/>
      <c r="U15" s="642"/>
      <c r="V15" s="49"/>
      <c r="W15" s="49"/>
      <c r="X15" s="49"/>
      <c r="Y15" s="49"/>
      <c r="Z15" s="49"/>
      <c r="AA15" s="49"/>
      <c r="AB15" s="633"/>
    </row>
    <row r="16" spans="1:28" ht="14.25">
      <c r="A16" s="993" t="s">
        <v>1003</v>
      </c>
      <c r="B16" s="993"/>
      <c r="C16" s="612" t="s">
        <v>1023</v>
      </c>
      <c r="D16" s="612"/>
      <c r="E16" s="612"/>
      <c r="F16" s="612"/>
      <c r="G16" s="612"/>
      <c r="H16" s="49"/>
      <c r="I16" s="49"/>
      <c r="J16" s="49"/>
      <c r="K16" s="49"/>
      <c r="L16" s="49"/>
      <c r="M16" s="49"/>
      <c r="N16" s="49"/>
      <c r="O16" s="640"/>
      <c r="P16" s="612"/>
      <c r="Q16" s="641" t="s">
        <v>1003</v>
      </c>
      <c r="R16" s="612" t="s">
        <v>157</v>
      </c>
      <c r="S16" s="612"/>
      <c r="T16" s="612"/>
      <c r="U16" s="642"/>
      <c r="V16" s="49"/>
      <c r="W16" s="49"/>
      <c r="X16" s="49"/>
      <c r="Y16" s="49"/>
      <c r="Z16" s="49"/>
      <c r="AA16" s="49"/>
      <c r="AB16" s="633"/>
    </row>
    <row r="17" spans="1:28" ht="14.25">
      <c r="A17" s="993" t="s">
        <v>1006</v>
      </c>
      <c r="B17" s="993"/>
      <c r="C17" s="612" t="s">
        <v>158</v>
      </c>
      <c r="D17" s="612"/>
      <c r="E17" s="612"/>
      <c r="F17" s="612"/>
      <c r="G17" s="612"/>
      <c r="H17" s="49">
        <v>3</v>
      </c>
      <c r="I17" s="49"/>
      <c r="J17" s="49"/>
      <c r="K17" s="49"/>
      <c r="L17" s="49"/>
      <c r="M17" s="49"/>
      <c r="N17" s="49"/>
      <c r="O17" s="640"/>
      <c r="P17" s="612"/>
      <c r="Q17" s="641"/>
      <c r="R17" s="612"/>
      <c r="S17" s="612"/>
      <c r="T17" s="612"/>
      <c r="U17" s="642"/>
      <c r="V17" s="49"/>
      <c r="W17" s="49"/>
      <c r="X17" s="49"/>
      <c r="Y17" s="49"/>
      <c r="Z17" s="49"/>
      <c r="AA17" s="49"/>
      <c r="AB17" s="633"/>
    </row>
    <row r="18" spans="1:28" ht="14.25">
      <c r="A18" s="645" t="s">
        <v>987</v>
      </c>
      <c r="B18" s="612" t="s">
        <v>988</v>
      </c>
      <c r="C18" s="612"/>
      <c r="D18" s="612"/>
      <c r="E18" s="612"/>
      <c r="F18" s="612"/>
      <c r="G18" s="642"/>
      <c r="H18" s="49">
        <f>SUM(H12:H17)</f>
        <v>1405</v>
      </c>
      <c r="I18" s="49"/>
      <c r="J18" s="49"/>
      <c r="K18" s="49"/>
      <c r="L18" s="49">
        <f>SUM(L12:L17)</f>
        <v>294</v>
      </c>
      <c r="M18" s="49">
        <f>SUM(M12:M17)</f>
        <v>94</v>
      </c>
      <c r="N18" s="50">
        <f>ROUND(100*M18/L18,1)</f>
        <v>32</v>
      </c>
      <c r="O18" s="640"/>
      <c r="P18" s="612" t="s">
        <v>987</v>
      </c>
      <c r="Q18" s="612" t="s">
        <v>989</v>
      </c>
      <c r="R18" s="612"/>
      <c r="S18" s="612"/>
      <c r="T18" s="612"/>
      <c r="U18" s="642"/>
      <c r="V18" s="49">
        <f>SUM(V12:V17)</f>
        <v>1405</v>
      </c>
      <c r="W18" s="49"/>
      <c r="X18" s="49"/>
      <c r="Y18" s="49"/>
      <c r="Z18" s="49">
        <f>SUM(Z12:Z17)</f>
        <v>294</v>
      </c>
      <c r="AA18" s="49">
        <f>SUM(AA12:AA17)</f>
        <v>122</v>
      </c>
      <c r="AB18" s="633">
        <f>ROUND(100*AA18/Z18,1)</f>
        <v>41.5</v>
      </c>
    </row>
    <row r="19" spans="1:28" ht="14.25">
      <c r="A19" s="646"/>
      <c r="B19" s="612"/>
      <c r="C19" s="612"/>
      <c r="D19" s="612"/>
      <c r="E19" s="612"/>
      <c r="F19" s="612"/>
      <c r="G19" s="642"/>
      <c r="H19" s="49"/>
      <c r="I19" s="49"/>
      <c r="J19" s="49"/>
      <c r="K19" s="49"/>
      <c r="L19" s="49"/>
      <c r="M19" s="49"/>
      <c r="N19" s="49"/>
      <c r="O19" s="640"/>
      <c r="P19" s="612"/>
      <c r="Q19" s="612"/>
      <c r="R19" s="612"/>
      <c r="S19" s="612"/>
      <c r="T19" s="612"/>
      <c r="U19" s="642"/>
      <c r="V19" s="49"/>
      <c r="W19" s="49"/>
      <c r="X19" s="49"/>
      <c r="Y19" s="49"/>
      <c r="Z19" s="49"/>
      <c r="AA19" s="49"/>
      <c r="AB19" s="633"/>
    </row>
    <row r="20" spans="1:28" ht="15">
      <c r="A20" s="647" t="s">
        <v>159</v>
      </c>
      <c r="B20" s="648"/>
      <c r="C20" s="648"/>
      <c r="D20" s="648"/>
      <c r="E20" s="648"/>
      <c r="F20" s="648"/>
      <c r="G20" s="649"/>
      <c r="H20" s="64">
        <f>SUM(H18)</f>
        <v>1405</v>
      </c>
      <c r="I20" s="64">
        <f>SUM(I11:I19)</f>
        <v>0</v>
      </c>
      <c r="J20" s="64"/>
      <c r="K20" s="64"/>
      <c r="L20" s="64">
        <f>SUM(L18)</f>
        <v>294</v>
      </c>
      <c r="M20" s="64">
        <f>SUM(M18)</f>
        <v>94</v>
      </c>
      <c r="N20" s="66">
        <f>ROUND(100*M20/L20,1)</f>
        <v>32</v>
      </c>
      <c r="O20" s="650"/>
      <c r="P20" s="651" t="s">
        <v>160</v>
      </c>
      <c r="Q20" s="648"/>
      <c r="R20" s="648"/>
      <c r="S20" s="648"/>
      <c r="T20" s="648"/>
      <c r="U20" s="649"/>
      <c r="V20" s="64">
        <f>SUM(V18)</f>
        <v>1405</v>
      </c>
      <c r="W20" s="64"/>
      <c r="X20" s="64"/>
      <c r="Y20" s="64"/>
      <c r="Z20" s="64">
        <f>SUM(Z18)</f>
        <v>294</v>
      </c>
      <c r="AA20" s="64">
        <f>SUM(AA18)</f>
        <v>122</v>
      </c>
      <c r="AB20" s="652">
        <f>ROUND(100*AA20/Z20,1)</f>
        <v>41.5</v>
      </c>
    </row>
    <row r="30" ht="11.25" customHeight="1"/>
  </sheetData>
  <mergeCells count="10">
    <mergeCell ref="AA1:AB1"/>
    <mergeCell ref="A3:AB3"/>
    <mergeCell ref="A6:G6"/>
    <mergeCell ref="P6:U6"/>
    <mergeCell ref="A16:B16"/>
    <mergeCell ref="A17:B17"/>
    <mergeCell ref="A12:B12"/>
    <mergeCell ref="A13:B13"/>
    <mergeCell ref="A14:B14"/>
    <mergeCell ref="A15:B15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9">
      <selection activeCell="G24" sqref="G24"/>
    </sheetView>
  </sheetViews>
  <sheetFormatPr defaultColWidth="9.140625" defaultRowHeight="12.75"/>
  <cols>
    <col min="1" max="1" width="5.7109375" style="1" customWidth="1"/>
    <col min="2" max="2" width="37.00390625" style="1" customWidth="1"/>
    <col min="3" max="4" width="9.8515625" style="1" customWidth="1"/>
    <col min="5" max="5" width="10.421875" style="1" customWidth="1"/>
    <col min="6" max="6" width="12.57421875" style="1" customWidth="1"/>
    <col min="7" max="7" width="10.421875" style="1" customWidth="1"/>
    <col min="8" max="8" width="11.8515625" style="1" customWidth="1"/>
    <col min="9" max="9" width="11.140625" style="1" customWidth="1"/>
    <col min="10" max="10" width="11.7109375" style="1" customWidth="1"/>
  </cols>
  <sheetData>
    <row r="1" spans="1:10" ht="14.25">
      <c r="A1" s="653"/>
      <c r="B1" s="654"/>
      <c r="C1" s="654"/>
      <c r="D1" s="654"/>
      <c r="E1" s="654"/>
      <c r="F1" s="654"/>
      <c r="G1" s="654"/>
      <c r="H1" s="654"/>
      <c r="I1" s="975" t="s">
        <v>161</v>
      </c>
      <c r="J1" s="975"/>
    </row>
    <row r="2" spans="1:10" ht="12.75">
      <c r="A2" s="653"/>
      <c r="B2" s="654"/>
      <c r="C2" s="654"/>
      <c r="D2" s="654"/>
      <c r="E2" s="654"/>
      <c r="F2" s="654"/>
      <c r="G2" s="654"/>
      <c r="H2" s="654"/>
      <c r="I2" s="654"/>
      <c r="J2" s="654"/>
    </row>
    <row r="3" spans="1:10" ht="15">
      <c r="A3" s="976" t="s">
        <v>162</v>
      </c>
      <c r="B3" s="976"/>
      <c r="C3" s="976"/>
      <c r="D3" s="976"/>
      <c r="E3" s="976"/>
      <c r="F3" s="976"/>
      <c r="G3" s="976"/>
      <c r="H3" s="976"/>
      <c r="I3" s="976"/>
      <c r="J3" s="976"/>
    </row>
    <row r="4" spans="1:10" ht="15">
      <c r="A4" s="976" t="s">
        <v>163</v>
      </c>
      <c r="B4" s="976"/>
      <c r="C4" s="976"/>
      <c r="D4" s="976"/>
      <c r="E4" s="976"/>
      <c r="F4" s="976"/>
      <c r="G4" s="976"/>
      <c r="H4" s="976"/>
      <c r="I4" s="976"/>
      <c r="J4" s="976"/>
    </row>
    <row r="5" spans="1:10" ht="14.25">
      <c r="A5" s="655"/>
      <c r="B5" s="655"/>
      <c r="C5" s="655"/>
      <c r="D5" s="655"/>
      <c r="E5" s="655"/>
      <c r="F5" s="655"/>
      <c r="G5" s="655"/>
      <c r="H5" s="655"/>
      <c r="I5" s="655"/>
      <c r="J5" s="655"/>
    </row>
    <row r="6" spans="1:10" ht="14.25">
      <c r="A6" s="656"/>
      <c r="B6" s="657"/>
      <c r="C6" s="657"/>
      <c r="D6" s="657"/>
      <c r="E6" s="657"/>
      <c r="F6" s="657"/>
      <c r="G6" s="657"/>
      <c r="H6" s="657"/>
      <c r="I6" s="657"/>
      <c r="J6" s="616" t="s">
        <v>1305</v>
      </c>
    </row>
    <row r="7" spans="1:10" ht="13.5" customHeight="1">
      <c r="A7" s="977" t="s">
        <v>960</v>
      </c>
      <c r="B7" s="977"/>
      <c r="C7" s="658" t="s">
        <v>961</v>
      </c>
      <c r="D7" s="658" t="s">
        <v>962</v>
      </c>
      <c r="E7" s="658" t="s">
        <v>963</v>
      </c>
      <c r="F7" s="658" t="s">
        <v>964</v>
      </c>
      <c r="G7" s="658" t="s">
        <v>965</v>
      </c>
      <c r="H7" s="658" t="s">
        <v>966</v>
      </c>
      <c r="I7" s="658" t="s">
        <v>967</v>
      </c>
      <c r="J7" s="10" t="s">
        <v>968</v>
      </c>
    </row>
    <row r="8" spans="1:10" ht="27.75" customHeight="1">
      <c r="A8" s="972" t="s">
        <v>164</v>
      </c>
      <c r="B8" s="972"/>
      <c r="C8" s="660" t="s">
        <v>165</v>
      </c>
      <c r="D8" s="661" t="s">
        <v>166</v>
      </c>
      <c r="E8" s="662" t="s">
        <v>167</v>
      </c>
      <c r="F8" s="973" t="s">
        <v>168</v>
      </c>
      <c r="G8" s="973"/>
      <c r="H8" s="973"/>
      <c r="I8" s="973"/>
      <c r="J8" s="974" t="s">
        <v>169</v>
      </c>
    </row>
    <row r="9" spans="1:10" ht="30">
      <c r="A9" s="972"/>
      <c r="B9" s="972"/>
      <c r="C9" s="663" t="s">
        <v>170</v>
      </c>
      <c r="D9" s="664" t="s">
        <v>171</v>
      </c>
      <c r="E9" s="665" t="s">
        <v>172</v>
      </c>
      <c r="F9" s="666" t="s">
        <v>173</v>
      </c>
      <c r="G9" s="667" t="s">
        <v>174</v>
      </c>
      <c r="H9" s="667" t="s">
        <v>175</v>
      </c>
      <c r="I9" s="668" t="s">
        <v>176</v>
      </c>
      <c r="J9" s="974"/>
    </row>
    <row r="10" spans="1:10" ht="15">
      <c r="A10" s="669"/>
      <c r="B10" s="670"/>
      <c r="C10" s="671"/>
      <c r="D10" s="659"/>
      <c r="E10" s="659"/>
      <c r="F10" s="669"/>
      <c r="G10" s="671"/>
      <c r="H10" s="671"/>
      <c r="I10" s="672"/>
      <c r="J10" s="664"/>
    </row>
    <row r="11" spans="1:10" ht="31.5">
      <c r="A11" s="673" t="s">
        <v>987</v>
      </c>
      <c r="B11" s="674" t="s">
        <v>177</v>
      </c>
      <c r="C11" s="675"/>
      <c r="D11" s="676"/>
      <c r="E11" s="677">
        <f>SUM(E12:E13)</f>
        <v>0</v>
      </c>
      <c r="F11" s="678">
        <f>SUM(F12:F13)</f>
        <v>0</v>
      </c>
      <c r="G11" s="679">
        <f>SUM(G12:G13)</f>
        <v>0</v>
      </c>
      <c r="H11" s="679">
        <f>SUM(H12:H13)</f>
        <v>0</v>
      </c>
      <c r="I11" s="680">
        <f>SUM(I12:I13)</f>
        <v>0</v>
      </c>
      <c r="J11" s="681">
        <f>SUM(E11:I11)</f>
        <v>0</v>
      </c>
    </row>
    <row r="12" spans="1:10" ht="14.25">
      <c r="A12" s="682"/>
      <c r="B12" s="683" t="s">
        <v>178</v>
      </c>
      <c r="C12" s="684"/>
      <c r="D12" s="685"/>
      <c r="E12" s="686"/>
      <c r="F12" s="687"/>
      <c r="G12" s="688"/>
      <c r="H12" s="688"/>
      <c r="I12" s="689"/>
      <c r="J12" s="690">
        <f>SUM(E12:I12)</f>
        <v>0</v>
      </c>
    </row>
    <row r="13" spans="1:10" ht="14.25">
      <c r="A13" s="682"/>
      <c r="B13" s="683" t="s">
        <v>178</v>
      </c>
      <c r="C13" s="684"/>
      <c r="D13" s="685"/>
      <c r="E13" s="686"/>
      <c r="F13" s="687"/>
      <c r="G13" s="688"/>
      <c r="H13" s="688"/>
      <c r="I13" s="689"/>
      <c r="J13" s="690">
        <f>SUM(E13:I13)</f>
        <v>0</v>
      </c>
    </row>
    <row r="14" spans="1:10" ht="31.5">
      <c r="A14" s="673" t="s">
        <v>1030</v>
      </c>
      <c r="B14" s="691" t="s">
        <v>179</v>
      </c>
      <c r="C14" s="675"/>
      <c r="D14" s="676"/>
      <c r="E14" s="692">
        <f>SUM(E15:E16)</f>
        <v>52510</v>
      </c>
      <c r="F14" s="693">
        <f>SUM(F15:F16)</f>
        <v>13663</v>
      </c>
      <c r="G14" s="693">
        <f>SUM(G15:G16)</f>
        <v>11134</v>
      </c>
      <c r="H14" s="693">
        <f>SUM(H15:H16)</f>
        <v>11134</v>
      </c>
      <c r="I14" s="694">
        <f>SUM(I15:I16)</f>
        <v>49185</v>
      </c>
      <c r="J14" s="695">
        <f>SUM(E14:I14)</f>
        <v>137626</v>
      </c>
    </row>
    <row r="15" spans="1:10" ht="14.25">
      <c r="A15" s="696" t="s">
        <v>1033</v>
      </c>
      <c r="B15" s="697" t="s">
        <v>180</v>
      </c>
      <c r="C15" s="698">
        <v>2004</v>
      </c>
      <c r="D15" s="699">
        <v>2015</v>
      </c>
      <c r="E15" s="700">
        <v>52510</v>
      </c>
      <c r="F15" s="701">
        <f>7934+5729</f>
        <v>13663</v>
      </c>
      <c r="G15" s="702">
        <v>11134</v>
      </c>
      <c r="H15" s="702">
        <v>11134</v>
      </c>
      <c r="I15" s="703">
        <v>49185</v>
      </c>
      <c r="J15" s="704">
        <f>SUM(E15:I15)</f>
        <v>137626</v>
      </c>
    </row>
    <row r="16" spans="1:10" ht="14.25">
      <c r="A16" s="705"/>
      <c r="B16" s="683" t="s">
        <v>178</v>
      </c>
      <c r="C16" s="684"/>
      <c r="D16" s="685"/>
      <c r="E16" s="686"/>
      <c r="F16" s="687"/>
      <c r="G16" s="688"/>
      <c r="H16" s="688"/>
      <c r="I16" s="706"/>
      <c r="J16" s="690"/>
    </row>
    <row r="17" spans="1:10" ht="47.25">
      <c r="A17" s="673" t="s">
        <v>1074</v>
      </c>
      <c r="B17" s="707" t="s">
        <v>181</v>
      </c>
      <c r="C17" s="675"/>
      <c r="D17" s="676"/>
      <c r="E17" s="692">
        <f aca="true" t="shared" si="0" ref="E17:J17">SUM(E18:E19)</f>
        <v>183089</v>
      </c>
      <c r="F17" s="693">
        <f t="shared" si="0"/>
        <v>307465</v>
      </c>
      <c r="G17" s="693">
        <f t="shared" si="0"/>
        <v>0</v>
      </c>
      <c r="H17" s="693">
        <f t="shared" si="0"/>
        <v>0</v>
      </c>
      <c r="I17" s="694">
        <f t="shared" si="0"/>
        <v>0</v>
      </c>
      <c r="J17" s="695">
        <f t="shared" si="0"/>
        <v>490554</v>
      </c>
    </row>
    <row r="18" spans="1:10" ht="14.25">
      <c r="A18" s="708" t="s">
        <v>1109</v>
      </c>
      <c r="B18" s="709" t="s">
        <v>182</v>
      </c>
      <c r="C18" s="710">
        <v>2006</v>
      </c>
      <c r="D18" s="711">
        <v>2010</v>
      </c>
      <c r="E18" s="712">
        <v>183089</v>
      </c>
      <c r="F18" s="713">
        <v>307465</v>
      </c>
      <c r="G18" s="714"/>
      <c r="H18" s="715"/>
      <c r="I18" s="716"/>
      <c r="J18" s="717">
        <f>SUM(E18:I18)</f>
        <v>490554</v>
      </c>
    </row>
    <row r="19" spans="1:10" ht="14.25">
      <c r="A19" s="718"/>
      <c r="B19" s="683" t="s">
        <v>178</v>
      </c>
      <c r="C19" s="719"/>
      <c r="D19" s="720"/>
      <c r="E19" s="721"/>
      <c r="F19" s="722"/>
      <c r="G19" s="723"/>
      <c r="H19" s="723"/>
      <c r="I19" s="724"/>
      <c r="J19" s="725"/>
    </row>
    <row r="20" spans="1:10" ht="47.25">
      <c r="A20" s="726" t="s">
        <v>1168</v>
      </c>
      <c r="B20" s="691" t="s">
        <v>183</v>
      </c>
      <c r="C20" s="675"/>
      <c r="D20" s="676"/>
      <c r="E20" s="677">
        <f>SUM(E21)</f>
        <v>0</v>
      </c>
      <c r="F20" s="727">
        <f>SUM(F21)</f>
        <v>0</v>
      </c>
      <c r="G20" s="693">
        <f>SUM(G21)</f>
        <v>60000</v>
      </c>
      <c r="H20" s="693">
        <f>SUM(H21)</f>
        <v>0</v>
      </c>
      <c r="I20" s="728">
        <f>SUM(I21)</f>
        <v>0</v>
      </c>
      <c r="J20" s="695">
        <f>SUM(E20:I20)</f>
        <v>60000</v>
      </c>
    </row>
    <row r="21" spans="1:10" ht="14.25">
      <c r="A21" s="729" t="s">
        <v>1228</v>
      </c>
      <c r="B21" s="730" t="s">
        <v>184</v>
      </c>
      <c r="C21" s="731">
        <v>2010</v>
      </c>
      <c r="D21" s="732">
        <v>2011</v>
      </c>
      <c r="E21" s="733"/>
      <c r="F21" s="734"/>
      <c r="G21" s="735">
        <v>60000</v>
      </c>
      <c r="H21" s="736"/>
      <c r="I21" s="737"/>
      <c r="J21" s="738">
        <f>SUM(E21:I21)</f>
        <v>60000</v>
      </c>
    </row>
    <row r="22" spans="1:10" ht="14.25">
      <c r="A22" s="739"/>
      <c r="B22" s="683" t="s">
        <v>178</v>
      </c>
      <c r="C22" s="740"/>
      <c r="D22" s="741"/>
      <c r="E22" s="742"/>
      <c r="F22" s="743"/>
      <c r="G22" s="744"/>
      <c r="H22" s="745"/>
      <c r="I22" s="746"/>
      <c r="J22" s="747"/>
    </row>
    <row r="23" spans="1:10" ht="47.25">
      <c r="A23" s="726" t="s">
        <v>1169</v>
      </c>
      <c r="B23" s="691" t="s">
        <v>185</v>
      </c>
      <c r="C23" s="675"/>
      <c r="D23" s="676"/>
      <c r="E23" s="677"/>
      <c r="F23" s="727">
        <f>SUM(F24)</f>
        <v>21607</v>
      </c>
      <c r="G23" s="693">
        <f>SUM(G24)</f>
        <v>49200</v>
      </c>
      <c r="H23" s="693">
        <f>SUM(H24)</f>
        <v>72400</v>
      </c>
      <c r="I23" s="728">
        <f>SUM(I24)</f>
        <v>506800</v>
      </c>
      <c r="J23" s="695">
        <f>SUM(E23:I23)</f>
        <v>650007</v>
      </c>
    </row>
    <row r="24" spans="1:10" ht="14.25">
      <c r="A24" s="729" t="s">
        <v>1258</v>
      </c>
      <c r="B24" s="730" t="s">
        <v>186</v>
      </c>
      <c r="C24" s="731">
        <v>2009</v>
      </c>
      <c r="D24" s="732">
        <v>2019</v>
      </c>
      <c r="E24" s="733" t="s">
        <v>187</v>
      </c>
      <c r="F24" s="734">
        <v>21607</v>
      </c>
      <c r="G24" s="735">
        <f>23200+26000</f>
        <v>49200</v>
      </c>
      <c r="H24" s="736">
        <f>23200+23200+26000</f>
        <v>72400</v>
      </c>
      <c r="I24" s="737">
        <f>7*72400</f>
        <v>506800</v>
      </c>
      <c r="J24" s="738">
        <f>SUM(E24:I24)</f>
        <v>650007</v>
      </c>
    </row>
    <row r="25" spans="1:10" ht="14.25">
      <c r="A25" s="739"/>
      <c r="B25" s="683" t="s">
        <v>178</v>
      </c>
      <c r="C25" s="740"/>
      <c r="D25" s="741"/>
      <c r="E25" s="742"/>
      <c r="F25" s="743"/>
      <c r="G25" s="744"/>
      <c r="H25" s="745"/>
      <c r="I25" s="746"/>
      <c r="J25" s="747"/>
    </row>
    <row r="26" spans="1:10" ht="15.75">
      <c r="A26" s="726" t="s">
        <v>1175</v>
      </c>
      <c r="B26" s="691" t="s">
        <v>188</v>
      </c>
      <c r="C26" s="675"/>
      <c r="D26" s="676"/>
      <c r="E26" s="677"/>
      <c r="F26" s="678"/>
      <c r="G26" s="679"/>
      <c r="H26" s="679"/>
      <c r="I26" s="680"/>
      <c r="J26" s="681"/>
    </row>
    <row r="27" spans="1:10" ht="14.25">
      <c r="A27" s="748"/>
      <c r="B27" s="749" t="s">
        <v>178</v>
      </c>
      <c r="C27" s="750"/>
      <c r="D27" s="751"/>
      <c r="E27" s="752"/>
      <c r="F27" s="753"/>
      <c r="G27" s="754"/>
      <c r="H27" s="754"/>
      <c r="I27" s="755"/>
      <c r="J27" s="756"/>
    </row>
    <row r="28" spans="1:10" ht="14.25">
      <c r="A28" s="718"/>
      <c r="B28" s="757" t="s">
        <v>178</v>
      </c>
      <c r="C28" s="758"/>
      <c r="D28" s="759"/>
      <c r="E28" s="760"/>
      <c r="F28" s="761"/>
      <c r="G28" s="762"/>
      <c r="H28" s="762"/>
      <c r="I28" s="763"/>
      <c r="J28" s="764"/>
    </row>
    <row r="29" spans="1:10" ht="15.75">
      <c r="A29" s="726" t="s">
        <v>1172</v>
      </c>
      <c r="B29" s="691" t="s">
        <v>189</v>
      </c>
      <c r="C29" s="675"/>
      <c r="D29" s="676"/>
      <c r="E29" s="677"/>
      <c r="F29" s="678"/>
      <c r="G29" s="679"/>
      <c r="H29" s="679"/>
      <c r="I29" s="680"/>
      <c r="J29" s="681"/>
    </row>
    <row r="30" spans="1:10" ht="14.25">
      <c r="A30" s="748"/>
      <c r="B30" s="683" t="s">
        <v>178</v>
      </c>
      <c r="C30" s="750"/>
      <c r="D30" s="751"/>
      <c r="E30" s="752"/>
      <c r="F30" s="753"/>
      <c r="G30" s="754"/>
      <c r="H30" s="754"/>
      <c r="I30" s="755"/>
      <c r="J30" s="756"/>
    </row>
    <row r="31" spans="1:10" ht="14.25">
      <c r="A31" s="765"/>
      <c r="B31" s="683" t="s">
        <v>178</v>
      </c>
      <c r="C31" s="684"/>
      <c r="D31" s="685"/>
      <c r="E31" s="686"/>
      <c r="F31" s="687"/>
      <c r="G31" s="688"/>
      <c r="H31" s="688"/>
      <c r="I31" s="689"/>
      <c r="J31" s="690"/>
    </row>
    <row r="32" spans="1:10" ht="15.75">
      <c r="A32" s="726" t="s">
        <v>1180</v>
      </c>
      <c r="B32" s="674" t="s">
        <v>190</v>
      </c>
      <c r="C32" s="766"/>
      <c r="D32" s="676"/>
      <c r="E32" s="767">
        <f>SUM(E29,E26,E23,E17,E14,E11,E20)</f>
        <v>235599</v>
      </c>
      <c r="F32" s="768">
        <f>SUM(F29,F26,F23,F17,F14,F11,F20)</f>
        <v>342735</v>
      </c>
      <c r="G32" s="769">
        <f>SUM(G29,G26,G23,G17,G14,G11,G20)</f>
        <v>120334</v>
      </c>
      <c r="H32" s="769">
        <f>SUM(H29,H26,H23,H17,H14,H11,H20)</f>
        <v>83534</v>
      </c>
      <c r="I32" s="770">
        <f>SUM(I29,I26,I23,I17,I14,I11,I20)</f>
        <v>555985</v>
      </c>
      <c r="J32" s="771">
        <f>SUM(E32:I32)</f>
        <v>1338187</v>
      </c>
    </row>
    <row r="33" ht="12.75">
      <c r="A33" s="102"/>
    </row>
  </sheetData>
  <mergeCells count="7">
    <mergeCell ref="A8:B9"/>
    <mergeCell ref="F8:I8"/>
    <mergeCell ref="J8:J9"/>
    <mergeCell ref="I1:J1"/>
    <mergeCell ref="A3:J3"/>
    <mergeCell ref="A4:J4"/>
    <mergeCell ref="A7:B7"/>
  </mergeCells>
  <printOptions/>
  <pageMargins left="0.7875" right="0.7875" top="0.5902777777777778" bottom="0.9840277777777778" header="0.5118055555555556" footer="0.5118055555555556"/>
  <pageSetup horizontalDpi="300" verticalDpi="3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F23" sqref="F23"/>
    </sheetView>
  </sheetViews>
  <sheetFormatPr defaultColWidth="9.140625" defaultRowHeight="12.75"/>
  <cols>
    <col min="1" max="1" width="35.00390625" style="1" customWidth="1"/>
    <col min="2" max="7" width="11.00390625" style="1" customWidth="1"/>
  </cols>
  <sheetData>
    <row r="1" spans="1:7" ht="13.5" customHeight="1">
      <c r="A1" s="772"/>
      <c r="B1" s="772"/>
      <c r="C1" s="772"/>
      <c r="D1" s="772"/>
      <c r="F1" s="978" t="s">
        <v>191</v>
      </c>
      <c r="G1" s="978"/>
    </row>
    <row r="2" spans="1:6" ht="12.75">
      <c r="A2" s="772"/>
      <c r="B2" s="772"/>
      <c r="C2" s="772"/>
      <c r="D2" s="772"/>
      <c r="E2" s="772"/>
      <c r="F2" s="772"/>
    </row>
    <row r="3" spans="1:7" ht="15">
      <c r="A3" s="976" t="s">
        <v>192</v>
      </c>
      <c r="B3" s="976"/>
      <c r="C3" s="976"/>
      <c r="D3" s="976"/>
      <c r="E3" s="976"/>
      <c r="F3" s="976"/>
      <c r="G3" s="976"/>
    </row>
    <row r="4" spans="1:7" ht="15">
      <c r="A4" s="976" t="s">
        <v>193</v>
      </c>
      <c r="B4" s="976"/>
      <c r="C4" s="976"/>
      <c r="D4" s="976"/>
      <c r="E4" s="976"/>
      <c r="F4" s="976"/>
      <c r="G4" s="976"/>
    </row>
    <row r="5" spans="1:6" ht="12.75">
      <c r="A5" s="773"/>
      <c r="B5" s="773"/>
      <c r="C5" s="773"/>
      <c r="D5" s="773"/>
      <c r="E5" s="773"/>
      <c r="F5" s="773"/>
    </row>
    <row r="6" spans="1:7" ht="14.25">
      <c r="A6" s="772"/>
      <c r="B6" s="772"/>
      <c r="C6" s="772"/>
      <c r="D6" s="772"/>
      <c r="E6" s="772"/>
      <c r="F6" s="772"/>
      <c r="G6" s="774" t="s">
        <v>1305</v>
      </c>
    </row>
    <row r="7" spans="1:7" ht="14.25">
      <c r="A7" s="658" t="s">
        <v>960</v>
      </c>
      <c r="B7" s="658" t="s">
        <v>961</v>
      </c>
      <c r="C7" s="658" t="s">
        <v>962</v>
      </c>
      <c r="D7" s="658" t="s">
        <v>963</v>
      </c>
      <c r="E7" s="658" t="s">
        <v>964</v>
      </c>
      <c r="F7" s="658" t="s">
        <v>965</v>
      </c>
      <c r="G7" s="10" t="s">
        <v>966</v>
      </c>
    </row>
    <row r="8" spans="1:7" ht="15">
      <c r="A8" s="775"/>
      <c r="B8" s="661" t="s">
        <v>194</v>
      </c>
      <c r="C8" s="776" t="s">
        <v>195</v>
      </c>
      <c r="D8" s="979" t="s">
        <v>196</v>
      </c>
      <c r="E8" s="979"/>
      <c r="F8" s="979"/>
      <c r="G8" s="979"/>
    </row>
    <row r="9" spans="1:7" ht="15">
      <c r="A9" s="777" t="s">
        <v>197</v>
      </c>
      <c r="B9" s="664" t="s">
        <v>170</v>
      </c>
      <c r="C9" s="778" t="s">
        <v>171</v>
      </c>
      <c r="D9" s="666" t="s">
        <v>173</v>
      </c>
      <c r="E9" s="667" t="s">
        <v>174</v>
      </c>
      <c r="F9" s="667" t="s">
        <v>175</v>
      </c>
      <c r="G9" s="668" t="s">
        <v>198</v>
      </c>
    </row>
    <row r="10" spans="1:7" ht="15">
      <c r="A10" s="659"/>
      <c r="B10" s="659"/>
      <c r="C10" s="671"/>
      <c r="D10" s="669"/>
      <c r="E10" s="671"/>
      <c r="F10" s="671"/>
      <c r="G10" s="672"/>
    </row>
    <row r="11" spans="1:7" ht="15">
      <c r="A11" s="779" t="s">
        <v>199</v>
      </c>
      <c r="B11" s="780"/>
      <c r="C11" s="781"/>
      <c r="D11" s="782">
        <f>SUM(D12:D14)</f>
        <v>101937</v>
      </c>
      <c r="E11" s="783">
        <f>SUM(E12:E14)</f>
        <v>192314</v>
      </c>
      <c r="F11" s="783">
        <f>SUM(F12:F14)</f>
        <v>0</v>
      </c>
      <c r="G11" s="784">
        <f>SUM(G12:G14)</f>
        <v>0</v>
      </c>
    </row>
    <row r="12" spans="1:7" ht="14.25">
      <c r="A12" s="785" t="s">
        <v>200</v>
      </c>
      <c r="B12" s="786">
        <v>2010</v>
      </c>
      <c r="C12" s="787">
        <v>2011</v>
      </c>
      <c r="D12" s="788">
        <v>51937</v>
      </c>
      <c r="E12" s="789">
        <v>192314</v>
      </c>
      <c r="F12" s="790"/>
      <c r="G12" s="791"/>
    </row>
    <row r="13" spans="1:7" ht="14.25">
      <c r="A13" s="785" t="s">
        <v>201</v>
      </c>
      <c r="B13" s="786">
        <v>2010</v>
      </c>
      <c r="C13" s="787">
        <v>2011</v>
      </c>
      <c r="D13" s="788">
        <v>50000</v>
      </c>
      <c r="E13" s="790">
        <v>0</v>
      </c>
      <c r="F13" s="790"/>
      <c r="G13" s="791"/>
    </row>
    <row r="14" spans="1:7" ht="14.25">
      <c r="A14" s="785" t="s">
        <v>178</v>
      </c>
      <c r="B14" s="786"/>
      <c r="C14" s="787"/>
      <c r="D14" s="792"/>
      <c r="E14" s="790"/>
      <c r="F14" s="790"/>
      <c r="G14" s="793"/>
    </row>
    <row r="15" spans="1:7" ht="15">
      <c r="A15" s="779" t="s">
        <v>202</v>
      </c>
      <c r="B15" s="780"/>
      <c r="C15" s="781"/>
      <c r="D15" s="783">
        <f>SUM(D16:D16)</f>
        <v>47601</v>
      </c>
      <c r="E15" s="783">
        <f>SUM(E16:E16)</f>
        <v>39667</v>
      </c>
      <c r="F15" s="794">
        <f>SUM(F16:F16)</f>
        <v>31733</v>
      </c>
      <c r="G15" s="784">
        <f>SUM(G16:G16)</f>
        <v>23779</v>
      </c>
    </row>
    <row r="16" spans="1:7" ht="14.25">
      <c r="A16" s="785" t="s">
        <v>203</v>
      </c>
      <c r="B16" s="786">
        <v>2004</v>
      </c>
      <c r="C16" s="787">
        <v>2015</v>
      </c>
      <c r="D16" s="790">
        <v>47601</v>
      </c>
      <c r="E16" s="790">
        <v>39667</v>
      </c>
      <c r="F16" s="795">
        <v>31733</v>
      </c>
      <c r="G16" s="796">
        <v>23779</v>
      </c>
    </row>
    <row r="17" spans="1:7" ht="15.75">
      <c r="A17" s="771" t="s">
        <v>204</v>
      </c>
      <c r="B17" s="797"/>
      <c r="C17" s="798"/>
      <c r="D17" s="799">
        <f>SUM(D11,D15)</f>
        <v>149538</v>
      </c>
      <c r="E17" s="799">
        <f>SUM(E11,E15)</f>
        <v>231981</v>
      </c>
      <c r="F17" s="800">
        <f>SUM(F11,F15)</f>
        <v>31733</v>
      </c>
      <c r="G17" s="801">
        <f>SUM(G11,G15)</f>
        <v>23779</v>
      </c>
    </row>
  </sheetData>
  <mergeCells count="4">
    <mergeCell ref="F1:G1"/>
    <mergeCell ref="A3:G3"/>
    <mergeCell ref="A4:G4"/>
    <mergeCell ref="D8:G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G19">
      <selection activeCell="N51" sqref="N51"/>
    </sheetView>
  </sheetViews>
  <sheetFormatPr defaultColWidth="9.140625" defaultRowHeight="12.75"/>
  <cols>
    <col min="2" max="2" width="25.57421875" style="1" customWidth="1"/>
    <col min="4" max="4" width="9.421875" style="1" customWidth="1"/>
    <col min="7" max="7" width="10.7109375" style="1" customWidth="1"/>
    <col min="9" max="9" width="10.421875" style="1" customWidth="1"/>
    <col min="13" max="13" width="9.421875" style="1" customWidth="1"/>
    <col min="19" max="19" width="10.421875" style="1" customWidth="1"/>
  </cols>
  <sheetData>
    <row r="1" spans="1:19" ht="14.25">
      <c r="A1" s="1"/>
      <c r="C1" s="1"/>
      <c r="E1" s="1"/>
      <c r="F1" s="1"/>
      <c r="H1" s="1"/>
      <c r="J1" s="1"/>
      <c r="K1" s="1"/>
      <c r="L1" s="1"/>
      <c r="N1" s="1"/>
      <c r="O1" s="1"/>
      <c r="P1" s="1"/>
      <c r="Q1" s="1"/>
      <c r="R1" s="1050" t="s">
        <v>205</v>
      </c>
      <c r="S1" s="1050"/>
    </row>
    <row r="2" spans="1:18" ht="12.75">
      <c r="A2" s="1"/>
      <c r="C2" s="1"/>
      <c r="E2" s="1"/>
      <c r="F2" s="1"/>
      <c r="H2" s="1"/>
      <c r="J2" s="1"/>
      <c r="K2" s="1"/>
      <c r="L2" s="1"/>
      <c r="N2" s="1"/>
      <c r="O2" s="1"/>
      <c r="P2" s="1"/>
      <c r="Q2" s="1"/>
      <c r="R2" s="1"/>
    </row>
    <row r="3" spans="1:19" ht="18">
      <c r="A3" s="980" t="s">
        <v>206</v>
      </c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980"/>
      <c r="P3" s="980"/>
      <c r="Q3" s="980"/>
      <c r="R3" s="980"/>
      <c r="S3" s="980"/>
    </row>
    <row r="4" spans="1:19" ht="14.25">
      <c r="A4" s="1"/>
      <c r="C4" s="1"/>
      <c r="E4" s="1"/>
      <c r="F4" s="1"/>
      <c r="H4" s="1"/>
      <c r="J4" s="1"/>
      <c r="K4" s="1"/>
      <c r="L4" s="1"/>
      <c r="N4" s="1"/>
      <c r="O4" s="1"/>
      <c r="P4" s="1"/>
      <c r="Q4" s="1"/>
      <c r="R4" s="1"/>
      <c r="S4" s="616" t="s">
        <v>1305</v>
      </c>
    </row>
    <row r="5" spans="1:19" ht="14.25">
      <c r="A5" s="1"/>
      <c r="C5" s="1"/>
      <c r="E5" s="1"/>
      <c r="F5" s="1"/>
      <c r="H5" s="1"/>
      <c r="J5" s="1"/>
      <c r="K5" s="1"/>
      <c r="L5" s="1"/>
      <c r="N5" s="1"/>
      <c r="O5" s="1"/>
      <c r="P5" s="1"/>
      <c r="Q5" s="1"/>
      <c r="R5" s="1"/>
      <c r="S5" s="616"/>
    </row>
    <row r="6" spans="1:19" ht="14.25">
      <c r="A6" s="981" t="s">
        <v>960</v>
      </c>
      <c r="B6" s="981"/>
      <c r="C6" s="10" t="s">
        <v>961</v>
      </c>
      <c r="D6" s="10" t="s">
        <v>962</v>
      </c>
      <c r="E6" s="10" t="s">
        <v>963</v>
      </c>
      <c r="F6" s="10" t="s">
        <v>964</v>
      </c>
      <c r="G6" s="10" t="s">
        <v>965</v>
      </c>
      <c r="H6" s="10" t="s">
        <v>966</v>
      </c>
      <c r="I6" s="10" t="s">
        <v>967</v>
      </c>
      <c r="J6" s="10" t="s">
        <v>968</v>
      </c>
      <c r="K6" s="10" t="s">
        <v>969</v>
      </c>
      <c r="L6" s="10" t="s">
        <v>970</v>
      </c>
      <c r="M6" s="10" t="s">
        <v>971</v>
      </c>
      <c r="N6" s="10" t="s">
        <v>972</v>
      </c>
      <c r="O6" s="10" t="s">
        <v>1480</v>
      </c>
      <c r="P6" s="10" t="s">
        <v>1481</v>
      </c>
      <c r="Q6" s="10" t="s">
        <v>1482</v>
      </c>
      <c r="R6" s="10" t="s">
        <v>1483</v>
      </c>
      <c r="S6" s="10" t="s">
        <v>1484</v>
      </c>
    </row>
    <row r="7" spans="1:19" ht="15">
      <c r="A7" s="112" t="s">
        <v>207</v>
      </c>
      <c r="B7" s="802"/>
      <c r="C7" s="803" t="s">
        <v>208</v>
      </c>
      <c r="D7" s="803" t="s">
        <v>209</v>
      </c>
      <c r="E7" s="804" t="s">
        <v>210</v>
      </c>
      <c r="F7" s="805" t="s">
        <v>210</v>
      </c>
      <c r="G7" s="804" t="s">
        <v>211</v>
      </c>
      <c r="H7" s="805" t="s">
        <v>212</v>
      </c>
      <c r="I7" s="803" t="s">
        <v>213</v>
      </c>
      <c r="J7" s="804" t="s">
        <v>214</v>
      </c>
      <c r="K7" s="804" t="s">
        <v>215</v>
      </c>
      <c r="L7" s="805" t="s">
        <v>210</v>
      </c>
      <c r="M7" s="804" t="s">
        <v>210</v>
      </c>
      <c r="N7" s="804" t="s">
        <v>210</v>
      </c>
      <c r="O7" s="804" t="s">
        <v>216</v>
      </c>
      <c r="P7" s="804" t="s">
        <v>217</v>
      </c>
      <c r="Q7" s="806" t="s">
        <v>218</v>
      </c>
      <c r="R7" s="479" t="s">
        <v>210</v>
      </c>
      <c r="S7" s="807" t="s">
        <v>978</v>
      </c>
    </row>
    <row r="8" spans="1:19" ht="12.75">
      <c r="A8" s="808"/>
      <c r="B8" s="809"/>
      <c r="C8" s="810" t="s">
        <v>219</v>
      </c>
      <c r="D8" s="810" t="s">
        <v>1529</v>
      </c>
      <c r="E8" s="811" t="s">
        <v>220</v>
      </c>
      <c r="F8" s="812" t="s">
        <v>220</v>
      </c>
      <c r="G8" s="811" t="s">
        <v>221</v>
      </c>
      <c r="H8" s="812" t="s">
        <v>222</v>
      </c>
      <c r="I8" s="810" t="s">
        <v>223</v>
      </c>
      <c r="J8" s="811" t="s">
        <v>224</v>
      </c>
      <c r="K8" s="811" t="s">
        <v>225</v>
      </c>
      <c r="L8" s="812" t="s">
        <v>220</v>
      </c>
      <c r="M8" s="811" t="s">
        <v>226</v>
      </c>
      <c r="N8" s="811" t="s">
        <v>226</v>
      </c>
      <c r="O8" s="811" t="s">
        <v>227</v>
      </c>
      <c r="P8" s="811" t="s">
        <v>1517</v>
      </c>
      <c r="Q8" s="481" t="s">
        <v>223</v>
      </c>
      <c r="R8" s="484" t="s">
        <v>228</v>
      </c>
      <c r="S8" s="813" t="s">
        <v>1517</v>
      </c>
    </row>
    <row r="9" spans="1:19" ht="12.75">
      <c r="A9" s="808"/>
      <c r="B9" s="809"/>
      <c r="C9" s="810"/>
      <c r="D9" s="810" t="s">
        <v>229</v>
      </c>
      <c r="E9" s="811" t="s">
        <v>230</v>
      </c>
      <c r="F9" s="812" t="s">
        <v>221</v>
      </c>
      <c r="G9" s="811" t="s">
        <v>231</v>
      </c>
      <c r="H9" s="812" t="s">
        <v>232</v>
      </c>
      <c r="I9" s="810" t="s">
        <v>233</v>
      </c>
      <c r="J9" s="811" t="s">
        <v>234</v>
      </c>
      <c r="K9" s="811" t="s">
        <v>235</v>
      </c>
      <c r="L9" s="812" t="s">
        <v>236</v>
      </c>
      <c r="M9" s="811" t="s">
        <v>237</v>
      </c>
      <c r="N9" s="811" t="s">
        <v>237</v>
      </c>
      <c r="O9" s="811" t="s">
        <v>1540</v>
      </c>
      <c r="P9" s="811" t="s">
        <v>1535</v>
      </c>
      <c r="Q9" s="481" t="s">
        <v>233</v>
      </c>
      <c r="R9" s="484" t="s">
        <v>238</v>
      </c>
      <c r="S9" s="813" t="s">
        <v>1535</v>
      </c>
    </row>
    <row r="10" spans="1:19" ht="12.75">
      <c r="A10" s="808"/>
      <c r="B10" s="809"/>
      <c r="C10" s="810"/>
      <c r="D10" s="810" t="s">
        <v>1410</v>
      </c>
      <c r="E10" s="811" t="s">
        <v>239</v>
      </c>
      <c r="F10" s="812" t="s">
        <v>239</v>
      </c>
      <c r="G10" s="811" t="s">
        <v>1404</v>
      </c>
      <c r="H10" s="812" t="s">
        <v>1593</v>
      </c>
      <c r="I10" s="810" t="s">
        <v>240</v>
      </c>
      <c r="J10" s="811" t="s">
        <v>238</v>
      </c>
      <c r="K10" s="811" t="s">
        <v>1612</v>
      </c>
      <c r="L10" s="812" t="s">
        <v>241</v>
      </c>
      <c r="M10" s="811" t="s">
        <v>242</v>
      </c>
      <c r="N10" s="811" t="s">
        <v>242</v>
      </c>
      <c r="O10" s="811" t="s">
        <v>243</v>
      </c>
      <c r="P10" s="811" t="s">
        <v>244</v>
      </c>
      <c r="Q10" s="481" t="s">
        <v>245</v>
      </c>
      <c r="R10" s="484" t="s">
        <v>246</v>
      </c>
      <c r="S10" s="813" t="s">
        <v>247</v>
      </c>
    </row>
    <row r="11" spans="1:19" ht="12.75">
      <c r="A11" s="808"/>
      <c r="B11" s="809"/>
      <c r="C11" s="810"/>
      <c r="D11" s="810" t="s">
        <v>248</v>
      </c>
      <c r="E11" s="811" t="s">
        <v>249</v>
      </c>
      <c r="F11" s="812" t="s">
        <v>249</v>
      </c>
      <c r="G11" s="811"/>
      <c r="H11" s="812" t="s">
        <v>1602</v>
      </c>
      <c r="I11" s="810" t="s">
        <v>250</v>
      </c>
      <c r="J11" s="811" t="s">
        <v>251</v>
      </c>
      <c r="K11" s="811" t="s">
        <v>241</v>
      </c>
      <c r="L11" s="812" t="s">
        <v>1563</v>
      </c>
      <c r="M11" s="811" t="s">
        <v>252</v>
      </c>
      <c r="N11" s="811" t="s">
        <v>253</v>
      </c>
      <c r="O11" s="811"/>
      <c r="P11" s="811" t="s">
        <v>254</v>
      </c>
      <c r="Q11" s="481" t="s">
        <v>255</v>
      </c>
      <c r="R11" s="484" t="s">
        <v>256</v>
      </c>
      <c r="S11" s="813"/>
    </row>
    <row r="12" spans="1:19" ht="12.75">
      <c r="A12" s="808"/>
      <c r="B12" s="809"/>
      <c r="C12" s="810"/>
      <c r="D12" s="810" t="s">
        <v>257</v>
      </c>
      <c r="E12" s="811"/>
      <c r="F12" s="812"/>
      <c r="G12" s="811" t="s">
        <v>258</v>
      </c>
      <c r="H12" s="812" t="s">
        <v>1611</v>
      </c>
      <c r="I12" s="810" t="s">
        <v>259</v>
      </c>
      <c r="J12" s="811" t="s">
        <v>260</v>
      </c>
      <c r="K12" s="811" t="s">
        <v>1563</v>
      </c>
      <c r="L12" s="812" t="s">
        <v>261</v>
      </c>
      <c r="M12" s="811" t="s">
        <v>253</v>
      </c>
      <c r="N12" s="811" t="s">
        <v>261</v>
      </c>
      <c r="O12" s="811"/>
      <c r="P12" s="811"/>
      <c r="Q12" s="481" t="s">
        <v>262</v>
      </c>
      <c r="R12" s="484" t="s">
        <v>263</v>
      </c>
      <c r="S12" s="813"/>
    </row>
    <row r="13" spans="1:19" ht="12.75">
      <c r="A13" s="808"/>
      <c r="B13" s="809"/>
      <c r="C13" s="810"/>
      <c r="D13" s="810"/>
      <c r="E13" s="811"/>
      <c r="F13" s="812"/>
      <c r="G13" s="83"/>
      <c r="H13" s="812"/>
      <c r="I13" s="810" t="s">
        <v>264</v>
      </c>
      <c r="J13" s="811" t="s">
        <v>265</v>
      </c>
      <c r="K13" s="811" t="s">
        <v>261</v>
      </c>
      <c r="L13" s="812"/>
      <c r="M13" s="811" t="s">
        <v>261</v>
      </c>
      <c r="N13" s="811"/>
      <c r="O13" s="811"/>
      <c r="P13" s="811"/>
      <c r="Q13" s="481" t="s">
        <v>233</v>
      </c>
      <c r="R13" s="484" t="s">
        <v>266</v>
      </c>
      <c r="S13" s="813"/>
    </row>
    <row r="14" spans="1:19" ht="12.75">
      <c r="A14" s="808"/>
      <c r="B14" s="809"/>
      <c r="C14" s="810"/>
      <c r="D14" s="810"/>
      <c r="E14" s="811"/>
      <c r="F14" s="812"/>
      <c r="G14" s="83"/>
      <c r="H14" s="812"/>
      <c r="I14" s="810"/>
      <c r="J14" s="811"/>
      <c r="K14" s="811"/>
      <c r="L14" s="812"/>
      <c r="M14" s="811"/>
      <c r="N14" s="811"/>
      <c r="O14" s="811"/>
      <c r="P14" s="811"/>
      <c r="Q14" s="481" t="s">
        <v>267</v>
      </c>
      <c r="R14" s="484" t="s">
        <v>268</v>
      </c>
      <c r="S14" s="813"/>
    </row>
    <row r="15" spans="1:19" ht="12.75">
      <c r="A15" s="808"/>
      <c r="B15" s="809"/>
      <c r="C15" s="810"/>
      <c r="D15" s="810"/>
      <c r="E15" s="811"/>
      <c r="F15" s="812"/>
      <c r="G15" s="83"/>
      <c r="H15" s="812"/>
      <c r="I15" s="810"/>
      <c r="J15" s="811"/>
      <c r="K15" s="811"/>
      <c r="L15" s="812"/>
      <c r="M15" s="811"/>
      <c r="N15" s="811"/>
      <c r="O15" s="811"/>
      <c r="P15" s="811"/>
      <c r="Q15" s="481" t="s">
        <v>269</v>
      </c>
      <c r="R15" s="484"/>
      <c r="S15" s="813"/>
    </row>
    <row r="16" spans="1:19" ht="12.75">
      <c r="A16" s="808"/>
      <c r="B16" s="809"/>
      <c r="C16" s="810"/>
      <c r="D16" s="810"/>
      <c r="E16" s="811"/>
      <c r="F16" s="812"/>
      <c r="G16" s="83"/>
      <c r="H16" s="812"/>
      <c r="I16" s="810"/>
      <c r="J16" s="811"/>
      <c r="K16" s="811"/>
      <c r="L16" s="812"/>
      <c r="M16" s="811"/>
      <c r="N16" s="811"/>
      <c r="O16" s="811"/>
      <c r="P16" s="811"/>
      <c r="Q16" s="481" t="s">
        <v>270</v>
      </c>
      <c r="R16" s="484"/>
      <c r="S16" s="813"/>
    </row>
    <row r="17" spans="1:19" ht="12.75">
      <c r="A17" s="814"/>
      <c r="B17" s="815"/>
      <c r="C17" s="816"/>
      <c r="D17" s="816"/>
      <c r="E17" s="817"/>
      <c r="F17" s="818" t="s">
        <v>271</v>
      </c>
      <c r="G17" s="817" t="s">
        <v>272</v>
      </c>
      <c r="H17" s="818" t="s">
        <v>271</v>
      </c>
      <c r="I17" s="816" t="s">
        <v>271</v>
      </c>
      <c r="J17" s="817"/>
      <c r="K17" s="817"/>
      <c r="L17" s="818"/>
      <c r="M17" s="817" t="s">
        <v>272</v>
      </c>
      <c r="N17" s="817"/>
      <c r="O17" s="817" t="s">
        <v>271</v>
      </c>
      <c r="P17" s="817"/>
      <c r="Q17" s="818"/>
      <c r="R17" s="817" t="s">
        <v>272</v>
      </c>
      <c r="S17" s="819"/>
    </row>
    <row r="18" spans="1:19" ht="12.75">
      <c r="A18" s="820"/>
      <c r="B18" s="821"/>
      <c r="C18" s="816">
        <v>1</v>
      </c>
      <c r="D18" s="816">
        <v>2</v>
      </c>
      <c r="E18" s="817">
        <v>3</v>
      </c>
      <c r="F18" s="818">
        <v>4</v>
      </c>
      <c r="G18" s="817">
        <v>5</v>
      </c>
      <c r="H18" s="818">
        <v>6</v>
      </c>
      <c r="I18" s="816">
        <v>7</v>
      </c>
      <c r="J18" s="817">
        <v>8</v>
      </c>
      <c r="K18" s="817">
        <v>9</v>
      </c>
      <c r="L18" s="818">
        <v>10</v>
      </c>
      <c r="M18" s="817">
        <v>11</v>
      </c>
      <c r="N18" s="817">
        <v>12</v>
      </c>
      <c r="O18" s="817">
        <v>13</v>
      </c>
      <c r="P18" s="817">
        <v>14</v>
      </c>
      <c r="Q18" s="818">
        <v>15</v>
      </c>
      <c r="R18" s="817">
        <v>16</v>
      </c>
      <c r="S18" s="819">
        <v>17</v>
      </c>
    </row>
    <row r="19" spans="1:19" ht="12.75">
      <c r="A19" s="822" t="s">
        <v>1411</v>
      </c>
      <c r="B19" s="823"/>
      <c r="C19" s="824">
        <v>212</v>
      </c>
      <c r="D19" s="824"/>
      <c r="E19" s="825"/>
      <c r="F19" s="826"/>
      <c r="G19" s="825">
        <f>E19-F19</f>
        <v>0</v>
      </c>
      <c r="H19" s="826">
        <v>212</v>
      </c>
      <c r="I19" s="824"/>
      <c r="J19" s="825"/>
      <c r="K19" s="825"/>
      <c r="L19" s="826"/>
      <c r="M19" s="825">
        <v>8568</v>
      </c>
      <c r="N19" s="825"/>
      <c r="O19" s="825"/>
      <c r="P19" s="825">
        <f>SUM(J19:O19)</f>
        <v>8568</v>
      </c>
      <c r="Q19" s="826"/>
      <c r="R19" s="825"/>
      <c r="S19" s="827">
        <f aca="true" t="shared" si="0" ref="S19:S24">SUM(P19:R19)</f>
        <v>8568</v>
      </c>
    </row>
    <row r="20" spans="1:19" ht="12.75">
      <c r="A20" s="828" t="s">
        <v>273</v>
      </c>
      <c r="B20" s="829"/>
      <c r="C20" s="830"/>
      <c r="D20" s="830"/>
      <c r="E20" s="830">
        <v>604</v>
      </c>
      <c r="F20" s="831"/>
      <c r="G20" s="830">
        <f aca="true" t="shared" si="1" ref="G20:G25">E20-F20</f>
        <v>604</v>
      </c>
      <c r="H20" s="831">
        <v>604</v>
      </c>
      <c r="I20" s="832"/>
      <c r="J20" s="830"/>
      <c r="K20" s="830"/>
      <c r="L20" s="831"/>
      <c r="M20" s="830">
        <v>8341</v>
      </c>
      <c r="N20" s="830"/>
      <c r="O20" s="830"/>
      <c r="P20" s="830">
        <f aca="true" t="shared" si="2" ref="P20:P25">SUM(J20:O20)</f>
        <v>8341</v>
      </c>
      <c r="Q20" s="831"/>
      <c r="R20" s="830"/>
      <c r="S20" s="833">
        <f t="shared" si="0"/>
        <v>8341</v>
      </c>
    </row>
    <row r="21" spans="1:19" ht="12.75">
      <c r="A21" s="828" t="s">
        <v>274</v>
      </c>
      <c r="B21" s="829"/>
      <c r="C21" s="830"/>
      <c r="D21" s="830"/>
      <c r="E21" s="830"/>
      <c r="F21" s="831"/>
      <c r="G21" s="830">
        <f t="shared" si="1"/>
        <v>0</v>
      </c>
      <c r="H21" s="831"/>
      <c r="I21" s="832"/>
      <c r="J21" s="830"/>
      <c r="K21" s="830"/>
      <c r="L21" s="831"/>
      <c r="M21" s="830">
        <v>4700</v>
      </c>
      <c r="N21" s="830"/>
      <c r="O21" s="830"/>
      <c r="P21" s="830">
        <f>SUM(J21:O21)</f>
        <v>4700</v>
      </c>
      <c r="Q21" s="831"/>
      <c r="R21" s="830"/>
      <c r="S21" s="833">
        <f t="shared" si="0"/>
        <v>4700</v>
      </c>
    </row>
    <row r="22" spans="1:19" ht="12.75">
      <c r="A22" s="828" t="s">
        <v>275</v>
      </c>
      <c r="B22" s="829"/>
      <c r="C22" s="830"/>
      <c r="D22" s="830"/>
      <c r="E22" s="830">
        <v>56</v>
      </c>
      <c r="F22" s="831"/>
      <c r="G22" s="830">
        <f t="shared" si="1"/>
        <v>56</v>
      </c>
      <c r="H22" s="831">
        <v>56</v>
      </c>
      <c r="I22" s="832"/>
      <c r="J22" s="830"/>
      <c r="K22" s="830"/>
      <c r="L22" s="831"/>
      <c r="M22" s="830">
        <v>2300</v>
      </c>
      <c r="N22" s="830"/>
      <c r="O22" s="830"/>
      <c r="P22" s="830">
        <f t="shared" si="2"/>
        <v>2300</v>
      </c>
      <c r="Q22" s="831"/>
      <c r="R22" s="830"/>
      <c r="S22" s="833">
        <f t="shared" si="0"/>
        <v>2300</v>
      </c>
    </row>
    <row r="23" spans="1:19" ht="12.75">
      <c r="A23" s="828" t="s">
        <v>1427</v>
      </c>
      <c r="B23" s="829"/>
      <c r="C23" s="830"/>
      <c r="D23" s="830"/>
      <c r="E23" s="830"/>
      <c r="F23" s="831"/>
      <c r="G23" s="830">
        <f t="shared" si="1"/>
        <v>0</v>
      </c>
      <c r="H23" s="831"/>
      <c r="I23" s="832"/>
      <c r="J23" s="830"/>
      <c r="K23" s="830"/>
      <c r="L23" s="831"/>
      <c r="M23" s="830">
        <v>2800</v>
      </c>
      <c r="N23" s="830"/>
      <c r="O23" s="830"/>
      <c r="P23" s="830">
        <f t="shared" si="2"/>
        <v>2800</v>
      </c>
      <c r="Q23" s="831"/>
      <c r="R23" s="830"/>
      <c r="S23" s="833">
        <f t="shared" si="0"/>
        <v>2800</v>
      </c>
    </row>
    <row r="24" spans="1:19" ht="12.75">
      <c r="A24" s="828" t="s">
        <v>1432</v>
      </c>
      <c r="B24" s="829"/>
      <c r="C24" s="830"/>
      <c r="D24" s="830"/>
      <c r="E24" s="830">
        <v>49</v>
      </c>
      <c r="F24" s="831"/>
      <c r="G24" s="830">
        <f t="shared" si="1"/>
        <v>49</v>
      </c>
      <c r="H24" s="831">
        <v>49</v>
      </c>
      <c r="I24" s="832"/>
      <c r="J24" s="830"/>
      <c r="K24" s="830"/>
      <c r="L24" s="831"/>
      <c r="M24" s="830">
        <v>2516</v>
      </c>
      <c r="N24" s="830"/>
      <c r="O24" s="830"/>
      <c r="P24" s="830">
        <f>SUM(J24:O24)</f>
        <v>2516</v>
      </c>
      <c r="Q24" s="831"/>
      <c r="R24" s="830"/>
      <c r="S24" s="833">
        <f t="shared" si="0"/>
        <v>2516</v>
      </c>
    </row>
    <row r="25" spans="1:19" ht="12.75">
      <c r="A25" s="834"/>
      <c r="B25" s="829"/>
      <c r="C25" s="832"/>
      <c r="D25" s="832"/>
      <c r="E25" s="830"/>
      <c r="F25" s="831"/>
      <c r="G25" s="830">
        <f t="shared" si="1"/>
        <v>0</v>
      </c>
      <c r="H25" s="831"/>
      <c r="I25" s="832"/>
      <c r="J25" s="830"/>
      <c r="K25" s="830"/>
      <c r="L25" s="831"/>
      <c r="M25" s="830"/>
      <c r="N25" s="830"/>
      <c r="O25" s="830"/>
      <c r="P25" s="830">
        <f t="shared" si="2"/>
        <v>0</v>
      </c>
      <c r="Q25" s="831"/>
      <c r="R25" s="830"/>
      <c r="S25" s="835"/>
    </row>
    <row r="26" spans="1:19" ht="12.75">
      <c r="A26" s="834" t="s">
        <v>1615</v>
      </c>
      <c r="B26" s="829"/>
      <c r="C26" s="836">
        <f>SUM(C19:C25)</f>
        <v>212</v>
      </c>
      <c r="D26" s="836"/>
      <c r="E26" s="837">
        <f>SUM(E19:E25)</f>
        <v>709</v>
      </c>
      <c r="F26" s="838">
        <f>SUM(F19:F25)</f>
        <v>0</v>
      </c>
      <c r="G26" s="837">
        <f>SUM(G19:G25)</f>
        <v>709</v>
      </c>
      <c r="H26" s="838">
        <f>SUM(H19:H25)</f>
        <v>921</v>
      </c>
      <c r="I26" s="832"/>
      <c r="J26" s="837">
        <f>SUM(J19:J25)</f>
        <v>0</v>
      </c>
      <c r="K26" s="830">
        <f>SUM(K19:K25)</f>
        <v>0</v>
      </c>
      <c r="L26" s="831"/>
      <c r="M26" s="837">
        <f>SUM(M19:M24)</f>
        <v>29225</v>
      </c>
      <c r="N26" s="830"/>
      <c r="O26" s="837">
        <f>SUM(O19:O24)</f>
        <v>0</v>
      </c>
      <c r="P26" s="837">
        <f>SUM(P19:P25)</f>
        <v>29225</v>
      </c>
      <c r="Q26" s="831"/>
      <c r="R26" s="830"/>
      <c r="S26" s="839">
        <f>SUM(S19:S25)</f>
        <v>29225</v>
      </c>
    </row>
    <row r="27" spans="1:19" ht="12.75">
      <c r="A27" s="828"/>
      <c r="B27" s="829"/>
      <c r="C27" s="832"/>
      <c r="D27" s="832"/>
      <c r="E27" s="830"/>
      <c r="F27" s="831"/>
      <c r="G27" s="830"/>
      <c r="H27" s="831"/>
      <c r="I27" s="832"/>
      <c r="J27" s="830"/>
      <c r="K27" s="830"/>
      <c r="L27" s="831"/>
      <c r="M27" s="830"/>
      <c r="N27" s="830"/>
      <c r="O27" s="830"/>
      <c r="P27" s="830"/>
      <c r="Q27" s="831"/>
      <c r="R27" s="830"/>
      <c r="S27" s="835"/>
    </row>
    <row r="28" spans="1:19" ht="12.75">
      <c r="A28" s="828" t="s">
        <v>276</v>
      </c>
      <c r="B28" s="829"/>
      <c r="C28" s="832">
        <v>1836</v>
      </c>
      <c r="D28" s="832"/>
      <c r="E28" s="830">
        <v>1161</v>
      </c>
      <c r="F28" s="831">
        <v>575</v>
      </c>
      <c r="G28" s="830">
        <f>E28-F28</f>
        <v>586</v>
      </c>
      <c r="H28" s="831"/>
      <c r="I28" s="832"/>
      <c r="J28" s="830">
        <f>C28+D28+G28+H28+I28</f>
        <v>2422</v>
      </c>
      <c r="K28" s="830"/>
      <c r="L28" s="831"/>
      <c r="M28" s="830">
        <v>2085</v>
      </c>
      <c r="N28" s="830"/>
      <c r="O28" s="830"/>
      <c r="P28" s="830">
        <f>SUM(J28:O28)</f>
        <v>4507</v>
      </c>
      <c r="Q28" s="831"/>
      <c r="R28" s="830"/>
      <c r="S28" s="835">
        <f>SUM(P28:R28)</f>
        <v>4507</v>
      </c>
    </row>
    <row r="29" spans="1:19" ht="12.75">
      <c r="A29" s="828" t="s">
        <v>277</v>
      </c>
      <c r="B29" s="829"/>
      <c r="C29" s="832">
        <v>1967</v>
      </c>
      <c r="D29" s="832"/>
      <c r="E29" s="830"/>
      <c r="F29" s="831"/>
      <c r="G29" s="830"/>
      <c r="H29" s="831"/>
      <c r="I29" s="832"/>
      <c r="J29" s="830">
        <f>C29+D29+G29+H29+I29</f>
        <v>1967</v>
      </c>
      <c r="K29" s="830">
        <v>-1653</v>
      </c>
      <c r="L29" s="831"/>
      <c r="M29" s="830"/>
      <c r="N29" s="830"/>
      <c r="O29" s="830"/>
      <c r="P29" s="830">
        <v>314</v>
      </c>
      <c r="Q29" s="831"/>
      <c r="R29" s="830"/>
      <c r="S29" s="835">
        <f>SUM(P29:R29)</f>
        <v>314</v>
      </c>
    </row>
    <row r="30" spans="1:19" ht="12.75">
      <c r="A30" s="828"/>
      <c r="B30" s="829"/>
      <c r="C30" s="830"/>
      <c r="D30" s="830"/>
      <c r="E30" s="830"/>
      <c r="F30" s="830"/>
      <c r="G30" s="830"/>
      <c r="H30" s="830"/>
      <c r="I30" s="830"/>
      <c r="J30" s="830"/>
      <c r="K30" s="830"/>
      <c r="L30" s="840"/>
      <c r="M30" s="830"/>
      <c r="N30" s="830"/>
      <c r="O30" s="830"/>
      <c r="P30" s="830"/>
      <c r="Q30" s="830"/>
      <c r="R30" s="830"/>
      <c r="S30" s="835"/>
    </row>
    <row r="31" spans="1:19" ht="12.75">
      <c r="A31" s="834" t="s">
        <v>1447</v>
      </c>
      <c r="B31" s="829"/>
      <c r="C31" s="836">
        <f>SUM(C28:C30)</f>
        <v>3803</v>
      </c>
      <c r="D31" s="836"/>
      <c r="E31" s="837">
        <f>SUM(E28:E30)</f>
        <v>1161</v>
      </c>
      <c r="F31" s="838">
        <f>SUM(F28:F30)</f>
        <v>575</v>
      </c>
      <c r="G31" s="837">
        <f>SUM(G28:G30)</f>
        <v>586</v>
      </c>
      <c r="H31" s="838"/>
      <c r="I31" s="832"/>
      <c r="J31" s="837">
        <f>SUM(J28:J30)</f>
        <v>4389</v>
      </c>
      <c r="K31" s="837">
        <f>SUM(K28:K29)</f>
        <v>-1653</v>
      </c>
      <c r="L31" s="831"/>
      <c r="M31" s="837">
        <f>SUM(M28:M30)</f>
        <v>2085</v>
      </c>
      <c r="N31" s="830"/>
      <c r="O31" s="837">
        <f>SUM(O28:O30)</f>
        <v>0</v>
      </c>
      <c r="P31" s="837">
        <f>SUM(P28:P30)</f>
        <v>4821</v>
      </c>
      <c r="Q31" s="831"/>
      <c r="R31" s="830"/>
      <c r="S31" s="839">
        <f>SUM(S28:S30)</f>
        <v>4821</v>
      </c>
    </row>
    <row r="32" spans="1:19" ht="12.75">
      <c r="A32" s="828"/>
      <c r="B32" s="829"/>
      <c r="C32" s="832"/>
      <c r="D32" s="832"/>
      <c r="E32" s="830"/>
      <c r="F32" s="831"/>
      <c r="G32" s="830"/>
      <c r="H32" s="831"/>
      <c r="I32" s="832"/>
      <c r="J32" s="830"/>
      <c r="K32" s="830"/>
      <c r="L32" s="831"/>
      <c r="M32" s="830"/>
      <c r="N32" s="830"/>
      <c r="O32" s="830"/>
      <c r="P32" s="830"/>
      <c r="Q32" s="831"/>
      <c r="R32" s="830"/>
      <c r="S32" s="835"/>
    </row>
    <row r="33" spans="1:19" ht="12.75">
      <c r="A33" s="828" t="s">
        <v>278</v>
      </c>
      <c r="B33" s="829"/>
      <c r="C33" s="832"/>
      <c r="D33" s="832"/>
      <c r="E33" s="830">
        <v>798</v>
      </c>
      <c r="F33" s="831"/>
      <c r="G33" s="830">
        <f>E33-F33</f>
        <v>798</v>
      </c>
      <c r="H33" s="831">
        <v>2307</v>
      </c>
      <c r="I33" s="832"/>
      <c r="J33" s="830">
        <v>-1509</v>
      </c>
      <c r="K33" s="830"/>
      <c r="L33" s="831"/>
      <c r="M33" s="830">
        <v>6546</v>
      </c>
      <c r="N33" s="830"/>
      <c r="O33" s="830"/>
      <c r="P33" s="830">
        <f>SUM(J33:O33)</f>
        <v>5037</v>
      </c>
      <c r="Q33" s="831"/>
      <c r="R33" s="830"/>
      <c r="S33" s="835">
        <f>SUM(P33:R33)</f>
        <v>5037</v>
      </c>
    </row>
    <row r="34" spans="1:19" ht="12.75">
      <c r="A34" s="828" t="s">
        <v>279</v>
      </c>
      <c r="B34" s="829"/>
      <c r="C34" s="832">
        <v>14683</v>
      </c>
      <c r="D34" s="832"/>
      <c r="E34" s="830">
        <v>8029</v>
      </c>
      <c r="F34" s="831">
        <v>18298</v>
      </c>
      <c r="G34" s="830">
        <f>E34-F34</f>
        <v>-10269</v>
      </c>
      <c r="H34" s="831">
        <v>-15171</v>
      </c>
      <c r="I34" s="832"/>
      <c r="J34" s="830">
        <v>19585</v>
      </c>
      <c r="K34" s="830"/>
      <c r="L34" s="831"/>
      <c r="M34" s="830">
        <v>36897</v>
      </c>
      <c r="N34" s="830"/>
      <c r="O34" s="830"/>
      <c r="P34" s="830">
        <f>SUM(J34:O34)</f>
        <v>56482</v>
      </c>
      <c r="Q34" s="831"/>
      <c r="R34" s="830"/>
      <c r="S34" s="835">
        <f>SUM(P34:R34)</f>
        <v>56482</v>
      </c>
    </row>
    <row r="35" spans="1:19" ht="12.75">
      <c r="A35" s="828" t="s">
        <v>280</v>
      </c>
      <c r="B35" s="829"/>
      <c r="C35" s="832">
        <v>11271</v>
      </c>
      <c r="D35" s="832"/>
      <c r="E35" s="830">
        <v>2720</v>
      </c>
      <c r="F35" s="831"/>
      <c r="G35" s="830">
        <f>E35-F35</f>
        <v>2720</v>
      </c>
      <c r="H35" s="831">
        <v>6678</v>
      </c>
      <c r="I35" s="832"/>
      <c r="J35" s="830">
        <v>7313</v>
      </c>
      <c r="K35" s="830"/>
      <c r="L35" s="831"/>
      <c r="M35" s="830">
        <v>10946</v>
      </c>
      <c r="N35" s="830"/>
      <c r="O35" s="830"/>
      <c r="P35" s="830">
        <f>SUM(J35:O35)</f>
        <v>18259</v>
      </c>
      <c r="Q35" s="831"/>
      <c r="R35" s="830"/>
      <c r="S35" s="835">
        <f>SUM(P35:R35)</f>
        <v>18259</v>
      </c>
    </row>
    <row r="36" spans="1:19" ht="12.75">
      <c r="A36" s="828"/>
      <c r="B36" s="829"/>
      <c r="C36" s="832"/>
      <c r="D36" s="832"/>
      <c r="E36" s="830"/>
      <c r="F36" s="831"/>
      <c r="G36" s="830"/>
      <c r="H36" s="831"/>
      <c r="I36" s="832"/>
      <c r="J36" s="830"/>
      <c r="K36" s="830"/>
      <c r="L36" s="831"/>
      <c r="M36" s="830"/>
      <c r="N36" s="830"/>
      <c r="O36" s="830"/>
      <c r="P36" s="830"/>
      <c r="Q36" s="831"/>
      <c r="R36" s="830"/>
      <c r="S36" s="835"/>
    </row>
    <row r="37" spans="1:19" ht="12.75">
      <c r="A37" s="834" t="s">
        <v>281</v>
      </c>
      <c r="B37" s="829"/>
      <c r="C37" s="836">
        <f>SUM(C33:C36)</f>
        <v>25954</v>
      </c>
      <c r="D37" s="836"/>
      <c r="E37" s="837">
        <f>SUM(E33:E36)</f>
        <v>11547</v>
      </c>
      <c r="F37" s="838">
        <f>SUM(F33:F36)</f>
        <v>18298</v>
      </c>
      <c r="G37" s="837">
        <f>SUM(G33:G36)</f>
        <v>-6751</v>
      </c>
      <c r="H37" s="838">
        <f>SUM(H33:H36)</f>
        <v>-6186</v>
      </c>
      <c r="I37" s="832"/>
      <c r="J37" s="837">
        <f>SUM(J33:J36)</f>
        <v>25389</v>
      </c>
      <c r="K37" s="837">
        <f>SUM(K33:K36)</f>
        <v>0</v>
      </c>
      <c r="L37" s="831"/>
      <c r="M37" s="837">
        <f>SUM(M33:M36)</f>
        <v>54389</v>
      </c>
      <c r="N37" s="830"/>
      <c r="O37" s="841">
        <f>SUM(O33:O36)</f>
        <v>0</v>
      </c>
      <c r="P37" s="837">
        <f>SUM(P33:P36)</f>
        <v>79778</v>
      </c>
      <c r="Q37" s="831"/>
      <c r="R37" s="830"/>
      <c r="S37" s="839">
        <f>SUM(S33:S36)</f>
        <v>79778</v>
      </c>
    </row>
    <row r="38" spans="1:19" ht="12.75">
      <c r="A38" s="834"/>
      <c r="B38" s="829"/>
      <c r="C38" s="830"/>
      <c r="D38" s="830"/>
      <c r="E38" s="830"/>
      <c r="F38" s="830"/>
      <c r="G38" s="830"/>
      <c r="H38" s="830"/>
      <c r="I38" s="830"/>
      <c r="J38" s="830"/>
      <c r="K38" s="830"/>
      <c r="L38" s="840"/>
      <c r="M38" s="830"/>
      <c r="N38" s="830"/>
      <c r="O38" s="830"/>
      <c r="P38" s="830"/>
      <c r="Q38" s="830"/>
      <c r="R38" s="830"/>
      <c r="S38" s="835"/>
    </row>
    <row r="39" spans="1:19" ht="12.75">
      <c r="A39" s="842" t="s">
        <v>1461</v>
      </c>
      <c r="B39" s="843"/>
      <c r="C39" s="832">
        <v>13992</v>
      </c>
      <c r="D39" s="832">
        <v>-192314</v>
      </c>
      <c r="E39" s="832">
        <v>179965</v>
      </c>
      <c r="F39" s="832">
        <v>6828</v>
      </c>
      <c r="G39" s="830">
        <f>SUM(E39-F39)</f>
        <v>173137</v>
      </c>
      <c r="H39" s="830"/>
      <c r="I39" s="832"/>
      <c r="J39" s="830">
        <f>C39+D39+G39+H39+H39</f>
        <v>-5185</v>
      </c>
      <c r="K39" s="830"/>
      <c r="L39" s="830">
        <v>-6083</v>
      </c>
      <c r="M39" s="830">
        <v>-84046</v>
      </c>
      <c r="N39" s="830"/>
      <c r="O39" s="830"/>
      <c r="P39" s="830">
        <f>SUM(J39:O39)</f>
        <v>-95314</v>
      </c>
      <c r="Q39" s="831"/>
      <c r="R39" s="830"/>
      <c r="S39" s="835">
        <f>SUM(P39:R39)</f>
        <v>-95314</v>
      </c>
    </row>
    <row r="40" spans="1:19" ht="12.75">
      <c r="A40" s="842" t="s">
        <v>1466</v>
      </c>
      <c r="B40" s="843"/>
      <c r="C40" s="832">
        <v>23</v>
      </c>
      <c r="D40" s="832"/>
      <c r="E40" s="830"/>
      <c r="F40" s="831"/>
      <c r="G40" s="830"/>
      <c r="H40" s="831"/>
      <c r="I40" s="832"/>
      <c r="J40" s="830">
        <f>C40+D40+G40+H40+H40</f>
        <v>23</v>
      </c>
      <c r="K40" s="830"/>
      <c r="L40" s="831"/>
      <c r="M40" s="830"/>
      <c r="N40" s="830"/>
      <c r="O40" s="830"/>
      <c r="P40" s="830">
        <f>SUM(J40:O40)</f>
        <v>23</v>
      </c>
      <c r="Q40" s="831"/>
      <c r="R40" s="830"/>
      <c r="S40" s="835">
        <f>SUM(P40:R40)</f>
        <v>23</v>
      </c>
    </row>
    <row r="41" spans="1:19" ht="12.75">
      <c r="A41" s="842" t="s">
        <v>1471</v>
      </c>
      <c r="B41" s="843"/>
      <c r="C41" s="832">
        <v>2219</v>
      </c>
      <c r="D41" s="832"/>
      <c r="E41" s="830"/>
      <c r="F41" s="831"/>
      <c r="G41" s="830"/>
      <c r="H41" s="831"/>
      <c r="I41" s="832"/>
      <c r="J41" s="830">
        <f>C41+D41+G41+H41+H41</f>
        <v>2219</v>
      </c>
      <c r="K41" s="830"/>
      <c r="L41" s="831"/>
      <c r="M41" s="830"/>
      <c r="N41" s="830"/>
      <c r="O41" s="830"/>
      <c r="P41" s="830">
        <f>SUM(J41:O41)</f>
        <v>2219</v>
      </c>
      <c r="Q41" s="831"/>
      <c r="R41" s="830"/>
      <c r="S41" s="835">
        <f>SUM(P41:R41)</f>
        <v>2219</v>
      </c>
    </row>
    <row r="42" spans="1:19" ht="12.75">
      <c r="A42" s="844"/>
      <c r="B42" s="843"/>
      <c r="C42" s="832"/>
      <c r="D42" s="832"/>
      <c r="E42" s="830"/>
      <c r="F42" s="831"/>
      <c r="G42" s="830"/>
      <c r="H42" s="831"/>
      <c r="I42" s="832"/>
      <c r="J42" s="830"/>
      <c r="K42" s="830"/>
      <c r="L42" s="831"/>
      <c r="M42" s="830"/>
      <c r="N42" s="830"/>
      <c r="O42" s="830"/>
      <c r="P42" s="830"/>
      <c r="Q42" s="831"/>
      <c r="R42" s="830"/>
      <c r="S42" s="835"/>
    </row>
    <row r="43" spans="1:19" ht="12.75">
      <c r="A43" s="834" t="s">
        <v>282</v>
      </c>
      <c r="B43" s="829"/>
      <c r="C43" s="836">
        <f>SUM(C39:C41)</f>
        <v>16234</v>
      </c>
      <c r="D43" s="836">
        <f>SUM(D39:D41)</f>
        <v>-192314</v>
      </c>
      <c r="E43" s="836">
        <f>SUM(E39:E42)</f>
        <v>179965</v>
      </c>
      <c r="F43" s="836">
        <f>SUM(F39:F42)</f>
        <v>6828</v>
      </c>
      <c r="G43" s="837">
        <f>SUM(G39:G42)</f>
        <v>173137</v>
      </c>
      <c r="H43" s="837">
        <f>SUM(H39:H42)</f>
        <v>0</v>
      </c>
      <c r="I43" s="836"/>
      <c r="J43" s="837">
        <f>SUM(J39:J42)</f>
        <v>-2943</v>
      </c>
      <c r="K43" s="837">
        <f>SUM(K39:K42)</f>
        <v>0</v>
      </c>
      <c r="L43" s="837">
        <f>SUM(L39:L42)</f>
        <v>-6083</v>
      </c>
      <c r="M43" s="837">
        <f>SUM(M39:M42)</f>
        <v>-84046</v>
      </c>
      <c r="N43" s="837">
        <f>SUM(N39:N41)</f>
        <v>0</v>
      </c>
      <c r="O43" s="837">
        <f>SUM(O39:O41)</f>
        <v>0</v>
      </c>
      <c r="P43" s="837">
        <f>SUM(P39:P41)</f>
        <v>-93072</v>
      </c>
      <c r="Q43" s="838"/>
      <c r="R43" s="837"/>
      <c r="S43" s="839">
        <f>SUM(S39:S42)</f>
        <v>-93072</v>
      </c>
    </row>
    <row r="44" spans="1:19" ht="12.75">
      <c r="A44" s="845"/>
      <c r="B44" s="846"/>
      <c r="C44" s="832"/>
      <c r="D44" s="832"/>
      <c r="E44" s="832"/>
      <c r="F44" s="830"/>
      <c r="G44" s="830"/>
      <c r="H44" s="830"/>
      <c r="I44" s="832"/>
      <c r="J44" s="830"/>
      <c r="K44" s="830"/>
      <c r="L44" s="831"/>
      <c r="M44" s="830"/>
      <c r="N44" s="830"/>
      <c r="O44" s="830"/>
      <c r="P44" s="830"/>
      <c r="Q44" s="831"/>
      <c r="R44" s="830"/>
      <c r="S44" s="835"/>
    </row>
    <row r="45" spans="1:19" ht="15">
      <c r="A45" s="208" t="s">
        <v>1628</v>
      </c>
      <c r="B45" s="846"/>
      <c r="C45" s="94">
        <f>SUM(C43,C37,C31,C26)</f>
        <v>46203</v>
      </c>
      <c r="D45" s="94">
        <f aca="true" t="shared" si="3" ref="D45:R45">SUM(D43,D37,D31,D26)</f>
        <v>-192314</v>
      </c>
      <c r="E45" s="94">
        <f t="shared" si="3"/>
        <v>193382</v>
      </c>
      <c r="F45" s="94">
        <f t="shared" si="3"/>
        <v>25701</v>
      </c>
      <c r="G45" s="94">
        <f t="shared" si="3"/>
        <v>167681</v>
      </c>
      <c r="H45" s="94">
        <f>SUM(H43,H37,H31,H26)</f>
        <v>-5265</v>
      </c>
      <c r="I45" s="94">
        <f t="shared" si="3"/>
        <v>0</v>
      </c>
      <c r="J45" s="94">
        <f aca="true" t="shared" si="4" ref="J45:P45">SUM(J43,J37,J31,J26)</f>
        <v>26835</v>
      </c>
      <c r="K45" s="94">
        <f t="shared" si="4"/>
        <v>-1653</v>
      </c>
      <c r="L45" s="570">
        <f t="shared" si="4"/>
        <v>-6083</v>
      </c>
      <c r="M45" s="94">
        <f t="shared" si="4"/>
        <v>1653</v>
      </c>
      <c r="N45" s="94">
        <f t="shared" si="4"/>
        <v>0</v>
      </c>
      <c r="O45" s="570">
        <f t="shared" si="4"/>
        <v>0</v>
      </c>
      <c r="P45" s="94">
        <f t="shared" si="4"/>
        <v>20752</v>
      </c>
      <c r="Q45" s="94">
        <f t="shared" si="3"/>
        <v>0</v>
      </c>
      <c r="R45" s="94">
        <f t="shared" si="3"/>
        <v>0</v>
      </c>
      <c r="S45" s="847">
        <f>SUM(S43,S37,S31,S26)</f>
        <v>20752</v>
      </c>
    </row>
    <row r="46" spans="1:19" ht="12.75">
      <c r="A46" s="848"/>
      <c r="B46" s="849"/>
      <c r="C46" s="850"/>
      <c r="D46" s="850"/>
      <c r="E46" s="850"/>
      <c r="F46" s="850"/>
      <c r="G46" s="850"/>
      <c r="H46" s="850"/>
      <c r="I46" s="850"/>
      <c r="J46" s="850"/>
      <c r="K46" s="850"/>
      <c r="L46" s="851"/>
      <c r="M46" s="850"/>
      <c r="N46" s="850"/>
      <c r="O46" s="850"/>
      <c r="P46" s="850"/>
      <c r="Q46" s="850"/>
      <c r="R46" s="850"/>
      <c r="S46" s="852"/>
    </row>
    <row r="48" ht="12.75">
      <c r="G48" s="101"/>
    </row>
  </sheetData>
  <mergeCells count="3">
    <mergeCell ref="R1:S1"/>
    <mergeCell ref="A3:S3"/>
    <mergeCell ref="A6:B6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28">
      <selection activeCell="D19" sqref="D19"/>
    </sheetView>
  </sheetViews>
  <sheetFormatPr defaultColWidth="9.140625" defaultRowHeight="12.75"/>
  <cols>
    <col min="1" max="1" width="58.00390625" style="1" customWidth="1"/>
    <col min="2" max="2" width="16.00390625" style="1" customWidth="1"/>
  </cols>
  <sheetData>
    <row r="1" spans="1:2" ht="14.25">
      <c r="A1" s="359"/>
      <c r="B1" s="616" t="s">
        <v>283</v>
      </c>
    </row>
    <row r="2" spans="1:2" ht="14.25">
      <c r="A2" s="359"/>
      <c r="B2" s="359"/>
    </row>
    <row r="3" spans="1:2" ht="14.25">
      <c r="A3" s="982" t="s">
        <v>284</v>
      </c>
      <c r="B3" s="982"/>
    </row>
    <row r="4" spans="1:2" ht="14.25">
      <c r="A4" s="982" t="s">
        <v>285</v>
      </c>
      <c r="B4" s="982"/>
    </row>
    <row r="5" spans="1:2" ht="14.25">
      <c r="A5" s="853"/>
      <c r="B5" s="853"/>
    </row>
    <row r="6" spans="1:2" ht="14.25">
      <c r="A6" s="853"/>
      <c r="B6" s="616" t="s">
        <v>1305</v>
      </c>
    </row>
    <row r="7" spans="1:2" ht="14.25">
      <c r="A7" s="10" t="s">
        <v>960</v>
      </c>
      <c r="B7" s="10" t="s">
        <v>961</v>
      </c>
    </row>
    <row r="8" spans="1:2" ht="14.25">
      <c r="A8" s="854" t="s">
        <v>286</v>
      </c>
      <c r="B8" s="855" t="s">
        <v>287</v>
      </c>
    </row>
    <row r="9" spans="1:2" ht="15">
      <c r="A9" s="856" t="s">
        <v>288</v>
      </c>
      <c r="B9" s="857">
        <f>SUM(B12)</f>
        <v>20752</v>
      </c>
    </row>
    <row r="10" spans="1:2" ht="15">
      <c r="A10" s="858"/>
      <c r="B10" s="859"/>
    </row>
    <row r="11" spans="1:2" ht="14.25">
      <c r="A11" s="148"/>
      <c r="B11" s="860"/>
    </row>
    <row r="12" spans="1:2" ht="15">
      <c r="A12" s="858" t="s">
        <v>289</v>
      </c>
      <c r="B12" s="859">
        <f>SUM(B29,B26,B19,B31)</f>
        <v>20752</v>
      </c>
    </row>
    <row r="13" spans="1:2" ht="14.25">
      <c r="A13" s="148" t="s">
        <v>290</v>
      </c>
      <c r="B13" s="861">
        <v>972</v>
      </c>
    </row>
    <row r="14" spans="1:3" ht="14.25">
      <c r="A14" s="148" t="s">
        <v>291</v>
      </c>
      <c r="B14" s="861">
        <v>4065</v>
      </c>
      <c r="C14" s="101"/>
    </row>
    <row r="15" spans="1:2" ht="14.25">
      <c r="A15" s="148" t="s">
        <v>292</v>
      </c>
      <c r="B15" s="861">
        <v>12134</v>
      </c>
    </row>
    <row r="16" spans="1:3" ht="14.25">
      <c r="A16" s="148" t="s">
        <v>293</v>
      </c>
      <c r="B16" s="861">
        <v>44348</v>
      </c>
      <c r="C16" s="101"/>
    </row>
    <row r="17" spans="1:2" ht="14.25">
      <c r="A17" s="148" t="s">
        <v>294</v>
      </c>
      <c r="B17" s="861">
        <v>13488</v>
      </c>
    </row>
    <row r="18" spans="1:2" ht="14.25">
      <c r="A18" s="148" t="s">
        <v>295</v>
      </c>
      <c r="B18" s="861">
        <v>4771</v>
      </c>
    </row>
    <row r="19" spans="1:2" ht="15">
      <c r="A19" s="858" t="s">
        <v>296</v>
      </c>
      <c r="B19" s="862">
        <f>SUM(B13:B18)</f>
        <v>79778</v>
      </c>
    </row>
    <row r="20" spans="1:2" ht="14.25">
      <c r="A20" s="148" t="s">
        <v>297</v>
      </c>
      <c r="B20" s="861">
        <v>8568</v>
      </c>
    </row>
    <row r="21" spans="1:2" ht="14.25">
      <c r="A21" s="148" t="s">
        <v>298</v>
      </c>
      <c r="B21" s="861">
        <v>8341</v>
      </c>
    </row>
    <row r="22" spans="1:2" ht="14.25">
      <c r="A22" s="148" t="s">
        <v>299</v>
      </c>
      <c r="B22" s="861">
        <v>4700</v>
      </c>
    </row>
    <row r="23" spans="1:2" ht="14.25">
      <c r="A23" s="148" t="s">
        <v>300</v>
      </c>
      <c r="B23" s="861">
        <v>2300</v>
      </c>
    </row>
    <row r="24" spans="1:2" ht="14.25">
      <c r="A24" s="148" t="s">
        <v>301</v>
      </c>
      <c r="B24" s="861">
        <v>2800</v>
      </c>
    </row>
    <row r="25" spans="1:2" ht="14.25">
      <c r="A25" s="148" t="s">
        <v>302</v>
      </c>
      <c r="B25" s="861">
        <v>2516</v>
      </c>
    </row>
    <row r="26" spans="1:2" ht="15">
      <c r="A26" s="858" t="s">
        <v>303</v>
      </c>
      <c r="B26" s="862">
        <f>SUM(B20:B25)</f>
        <v>29225</v>
      </c>
    </row>
    <row r="27" spans="1:2" ht="14.25">
      <c r="A27" s="148" t="s">
        <v>304</v>
      </c>
      <c r="B27" s="863">
        <v>4507</v>
      </c>
    </row>
    <row r="28" spans="1:2" ht="14.25">
      <c r="A28" s="148" t="s">
        <v>305</v>
      </c>
      <c r="B28" s="863">
        <v>314</v>
      </c>
    </row>
    <row r="29" spans="1:2" ht="15">
      <c r="A29" s="858" t="s">
        <v>306</v>
      </c>
      <c r="B29" s="864">
        <f>SUM(B27:B28)</f>
        <v>4821</v>
      </c>
    </row>
    <row r="30" spans="1:2" ht="15">
      <c r="A30" s="567"/>
      <c r="B30" s="865"/>
    </row>
    <row r="31" spans="1:2" ht="15">
      <c r="A31" s="567" t="s">
        <v>307</v>
      </c>
      <c r="B31" s="864">
        <v>-93072</v>
      </c>
    </row>
    <row r="32" spans="1:2" ht="15">
      <c r="A32" s="546" t="s">
        <v>308</v>
      </c>
      <c r="B32" s="865"/>
    </row>
    <row r="33" spans="1:2" ht="14.25">
      <c r="A33" s="561" t="s">
        <v>309</v>
      </c>
      <c r="B33" s="866"/>
    </row>
    <row r="35" ht="14.25">
      <c r="A35" s="359"/>
    </row>
    <row r="36" ht="14.25">
      <c r="A36" s="359"/>
    </row>
  </sheetData>
  <mergeCells count="2">
    <mergeCell ref="A3:B3"/>
    <mergeCell ref="A4:B4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4" sqref="A4"/>
    </sheetView>
  </sheetViews>
  <sheetFormatPr defaultColWidth="9.140625" defaultRowHeight="12.75"/>
  <cols>
    <col min="1" max="1" width="29.8515625" style="1" customWidth="1"/>
    <col min="2" max="3" width="20.7109375" style="1" customWidth="1"/>
  </cols>
  <sheetData>
    <row r="1" spans="1:3" ht="14.25">
      <c r="A1" s="867"/>
      <c r="B1" s="867"/>
      <c r="C1" s="868" t="s">
        <v>310</v>
      </c>
    </row>
    <row r="2" spans="1:3" ht="14.25">
      <c r="A2" s="867"/>
      <c r="B2" s="867"/>
      <c r="C2" s="867"/>
    </row>
    <row r="3" spans="1:4" ht="15">
      <c r="A3" s="983" t="s">
        <v>311</v>
      </c>
      <c r="B3" s="983"/>
      <c r="C3" s="983"/>
      <c r="D3" s="869"/>
    </row>
    <row r="4" spans="1:3" ht="15">
      <c r="A4" s="870"/>
      <c r="B4" s="870"/>
      <c r="C4" s="870"/>
    </row>
    <row r="5" spans="1:2" ht="14.25">
      <c r="A5" s="867"/>
      <c r="B5" s="867"/>
    </row>
    <row r="6" spans="1:3" ht="14.25">
      <c r="A6" s="867"/>
      <c r="B6" s="867"/>
      <c r="C6" s="868" t="s">
        <v>1305</v>
      </c>
    </row>
    <row r="7" spans="1:3" ht="14.25">
      <c r="A7" s="658" t="s">
        <v>960</v>
      </c>
      <c r="B7" s="658" t="s">
        <v>961</v>
      </c>
      <c r="C7" s="10" t="s">
        <v>962</v>
      </c>
    </row>
    <row r="8" spans="1:3" ht="45">
      <c r="A8" s="871" t="s">
        <v>312</v>
      </c>
      <c r="B8" s="871" t="s">
        <v>313</v>
      </c>
      <c r="C8" s="872" t="s">
        <v>314</v>
      </c>
    </row>
    <row r="9" spans="1:3" ht="14.25">
      <c r="A9" s="873" t="s">
        <v>315</v>
      </c>
      <c r="B9" s="874">
        <v>69344</v>
      </c>
      <c r="C9" s="875">
        <v>2990</v>
      </c>
    </row>
    <row r="10" spans="1:3" ht="15">
      <c r="A10" s="876" t="s">
        <v>316</v>
      </c>
      <c r="B10" s="877">
        <f>SUM(B9:B9)</f>
        <v>69344</v>
      </c>
      <c r="C10" s="878">
        <f>SUM(C9:C9)</f>
        <v>2990</v>
      </c>
    </row>
  </sheetData>
  <mergeCells count="1">
    <mergeCell ref="A3:C3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L69" sqref="L69"/>
    </sheetView>
  </sheetViews>
  <sheetFormatPr defaultColWidth="9.140625" defaultRowHeight="12.75"/>
  <cols>
    <col min="1" max="1" width="2.57421875" style="1" customWidth="1"/>
    <col min="2" max="2" width="7.00390625" style="1" customWidth="1"/>
    <col min="3" max="3" width="5.8515625" style="1" customWidth="1"/>
    <col min="4" max="7" width="2.57421875" style="1" customWidth="1"/>
    <col min="8" max="9" width="8.7109375" style="1" customWidth="1"/>
    <col min="10" max="10" width="19.7109375" style="1" customWidth="1"/>
    <col min="11" max="12" width="12.00390625" style="1" customWidth="1"/>
    <col min="13" max="13" width="11.57421875" style="1" customWidth="1"/>
    <col min="14" max="14" width="11.28125" style="1" customWidth="1"/>
    <col min="15" max="15" width="9.28125" style="1" customWidth="1"/>
    <col min="16" max="16384" width="9.140625" style="1" customWidth="1"/>
  </cols>
  <sheetData>
    <row r="1" spans="1:14" ht="14.25">
      <c r="A1" s="74"/>
      <c r="B1" s="2"/>
      <c r="C1" s="2"/>
      <c r="D1" s="2"/>
      <c r="E1" s="2"/>
      <c r="F1" s="2"/>
      <c r="G1" s="2"/>
      <c r="H1" s="2"/>
      <c r="I1" s="75"/>
      <c r="M1" s="1052" t="s">
        <v>1079</v>
      </c>
      <c r="N1" s="1052"/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2"/>
      <c r="K2" s="75"/>
      <c r="L2" s="75"/>
    </row>
    <row r="3" spans="1:14" ht="15">
      <c r="A3" s="1053" t="s">
        <v>1080</v>
      </c>
      <c r="B3" s="1053"/>
      <c r="C3" s="1053"/>
      <c r="D3" s="1053"/>
      <c r="E3" s="1053"/>
      <c r="F3" s="1053"/>
      <c r="G3" s="1053"/>
      <c r="H3" s="1053"/>
      <c r="I3" s="1053"/>
      <c r="J3" s="1053"/>
      <c r="K3" s="1053"/>
      <c r="L3" s="1053"/>
      <c r="M3" s="1053"/>
      <c r="N3" s="1053"/>
    </row>
    <row r="4" spans="1:14" ht="15">
      <c r="A4" s="1053" t="s">
        <v>1081</v>
      </c>
      <c r="B4" s="1053"/>
      <c r="C4" s="1053"/>
      <c r="D4" s="1053"/>
      <c r="E4" s="1053"/>
      <c r="F4" s="1053"/>
      <c r="G4" s="1053"/>
      <c r="H4" s="1053"/>
      <c r="I4" s="1053"/>
      <c r="J4" s="1053"/>
      <c r="K4" s="1053"/>
      <c r="L4" s="1053"/>
      <c r="M4" s="1053"/>
      <c r="N4" s="1053"/>
    </row>
    <row r="5" spans="1:14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4.25">
      <c r="A6" s="2"/>
      <c r="B6" s="2"/>
      <c r="C6" s="2"/>
      <c r="D6" s="2"/>
      <c r="E6" s="2"/>
      <c r="F6" s="2"/>
      <c r="G6" s="2"/>
      <c r="H6" s="2"/>
      <c r="I6" s="3"/>
      <c r="J6" s="3"/>
      <c r="N6" s="4" t="s">
        <v>1082</v>
      </c>
    </row>
    <row r="7" spans="1:14" ht="14.25">
      <c r="A7" s="1054" t="s">
        <v>960</v>
      </c>
      <c r="B7" s="1054"/>
      <c r="C7" s="1054"/>
      <c r="D7" s="1054"/>
      <c r="E7" s="1054"/>
      <c r="F7" s="1054"/>
      <c r="G7" s="1054"/>
      <c r="H7" s="1054"/>
      <c r="I7" s="1054"/>
      <c r="J7" s="1054"/>
      <c r="K7" s="10" t="s">
        <v>961</v>
      </c>
      <c r="L7" s="10" t="s">
        <v>962</v>
      </c>
      <c r="M7" s="10" t="s">
        <v>963</v>
      </c>
      <c r="N7" s="10" t="s">
        <v>964</v>
      </c>
    </row>
    <row r="8" spans="1:14" ht="15">
      <c r="A8" s="76" t="s">
        <v>1083</v>
      </c>
      <c r="B8" s="77"/>
      <c r="C8" s="39"/>
      <c r="D8" s="39"/>
      <c r="E8" s="39"/>
      <c r="F8" s="39"/>
      <c r="G8" s="39"/>
      <c r="H8" s="39"/>
      <c r="I8" s="39"/>
      <c r="J8" s="39"/>
      <c r="K8" s="78" t="s">
        <v>1084</v>
      </c>
      <c r="L8" s="78" t="s">
        <v>978</v>
      </c>
      <c r="M8" s="46" t="s">
        <v>979</v>
      </c>
      <c r="N8" s="79" t="s">
        <v>979</v>
      </c>
    </row>
    <row r="9" spans="1:14" ht="14.25">
      <c r="A9" s="47"/>
      <c r="B9" s="2"/>
      <c r="C9" s="2"/>
      <c r="D9" s="2"/>
      <c r="E9" s="2"/>
      <c r="F9" s="2"/>
      <c r="G9" s="2"/>
      <c r="H9" s="2"/>
      <c r="I9" s="2"/>
      <c r="J9" s="2"/>
      <c r="K9" s="80" t="s">
        <v>985</v>
      </c>
      <c r="L9" s="80" t="s">
        <v>983</v>
      </c>
      <c r="M9" s="81"/>
      <c r="N9" s="82" t="s">
        <v>984</v>
      </c>
    </row>
    <row r="10" spans="1:14" ht="14.25">
      <c r="A10" s="47"/>
      <c r="B10" s="2"/>
      <c r="C10" s="2"/>
      <c r="D10" s="2"/>
      <c r="E10" s="2"/>
      <c r="F10" s="2"/>
      <c r="G10" s="2"/>
      <c r="H10" s="2"/>
      <c r="I10" s="2"/>
      <c r="J10" s="2"/>
      <c r="K10" s="80" t="s">
        <v>986</v>
      </c>
      <c r="L10" s="80"/>
      <c r="M10" s="83"/>
      <c r="N10" s="82"/>
    </row>
    <row r="11" spans="1:14" ht="14.25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6"/>
      <c r="L11" s="86"/>
      <c r="M11" s="87"/>
      <c r="N11" s="88"/>
    </row>
    <row r="12" spans="1:14" ht="14.25">
      <c r="A12" s="89" t="s">
        <v>987</v>
      </c>
      <c r="B12" s="48" t="s">
        <v>994</v>
      </c>
      <c r="C12" s="48"/>
      <c r="D12" s="48"/>
      <c r="E12" s="48"/>
      <c r="F12" s="48"/>
      <c r="G12" s="48"/>
      <c r="H12" s="48"/>
      <c r="I12" s="2"/>
      <c r="J12" s="2"/>
      <c r="K12" s="90"/>
      <c r="L12" s="90"/>
      <c r="M12" s="57"/>
      <c r="N12" s="91"/>
    </row>
    <row r="13" spans="1:14" ht="14.25">
      <c r="A13" s="89"/>
      <c r="B13" s="48" t="s">
        <v>990</v>
      </c>
      <c r="C13" s="48" t="s">
        <v>1085</v>
      </c>
      <c r="D13" s="48"/>
      <c r="E13" s="48"/>
      <c r="F13" s="48"/>
      <c r="G13" s="48"/>
      <c r="H13" s="48"/>
      <c r="I13" s="2"/>
      <c r="J13" s="2"/>
      <c r="K13" s="49"/>
      <c r="L13" s="49"/>
      <c r="M13" s="57"/>
      <c r="N13" s="91"/>
    </row>
    <row r="14" spans="1:14" ht="14.25">
      <c r="A14" s="89"/>
      <c r="B14" s="48"/>
      <c r="C14" s="48" t="s">
        <v>1086</v>
      </c>
      <c r="D14" s="48" t="s">
        <v>1087</v>
      </c>
      <c r="E14" s="48"/>
      <c r="F14" s="48"/>
      <c r="G14" s="48"/>
      <c r="H14" s="48"/>
      <c r="I14" s="2"/>
      <c r="J14" s="2"/>
      <c r="K14" s="49">
        <v>23000</v>
      </c>
      <c r="L14" s="49">
        <v>23710</v>
      </c>
      <c r="M14" s="57">
        <v>23710</v>
      </c>
      <c r="N14" s="92">
        <f>ROUND(100*M14/L14,1)</f>
        <v>100</v>
      </c>
    </row>
    <row r="15" spans="1:14" ht="14.25">
      <c r="A15" s="89"/>
      <c r="B15" s="48"/>
      <c r="C15" s="48" t="s">
        <v>1088</v>
      </c>
      <c r="D15" s="48" t="s">
        <v>1089</v>
      </c>
      <c r="E15" s="48"/>
      <c r="F15" s="48"/>
      <c r="G15" s="48"/>
      <c r="H15" s="48"/>
      <c r="I15" s="2"/>
      <c r="J15" s="2"/>
      <c r="K15" s="49">
        <v>180000</v>
      </c>
      <c r="L15" s="49">
        <v>257524</v>
      </c>
      <c r="M15" s="57">
        <v>257524</v>
      </c>
      <c r="N15" s="92">
        <f>ROUND(100*M15/L15,1)</f>
        <v>100</v>
      </c>
    </row>
    <row r="16" spans="1:14" ht="14.25">
      <c r="A16" s="89"/>
      <c r="B16" s="48" t="s">
        <v>990</v>
      </c>
      <c r="C16" s="48" t="s">
        <v>1085</v>
      </c>
      <c r="D16" s="48"/>
      <c r="E16" s="48"/>
      <c r="F16" s="48"/>
      <c r="G16" s="48"/>
      <c r="H16" s="48"/>
      <c r="I16" s="2"/>
      <c r="J16" s="2"/>
      <c r="K16" s="49">
        <f>SUM(K14:K15)</f>
        <v>203000</v>
      </c>
      <c r="L16" s="49">
        <f>SUM(L14:L15)</f>
        <v>281234</v>
      </c>
      <c r="M16" s="57">
        <f>SUM(M14:M15)</f>
        <v>281234</v>
      </c>
      <c r="N16" s="92">
        <f>ROUND(100*M16/L16,1)</f>
        <v>100</v>
      </c>
    </row>
    <row r="17" spans="1:14" ht="14.25">
      <c r="A17" s="89"/>
      <c r="B17" s="48" t="s">
        <v>993</v>
      </c>
      <c r="C17" s="48" t="s">
        <v>1090</v>
      </c>
      <c r="D17" s="48"/>
      <c r="E17" s="48"/>
      <c r="F17" s="48"/>
      <c r="G17" s="48"/>
      <c r="H17" s="48"/>
      <c r="I17" s="2"/>
      <c r="J17" s="2"/>
      <c r="K17" s="49">
        <v>1500</v>
      </c>
      <c r="L17" s="49">
        <v>2272</v>
      </c>
      <c r="M17" s="57">
        <v>2272</v>
      </c>
      <c r="N17" s="92">
        <f>ROUND(100*M17/L17,1)</f>
        <v>100</v>
      </c>
    </row>
    <row r="18" spans="1:14" ht="14.25">
      <c r="A18" s="89"/>
      <c r="B18" s="48" t="s">
        <v>996</v>
      </c>
      <c r="C18" s="48" t="s">
        <v>1091</v>
      </c>
      <c r="D18" s="48"/>
      <c r="E18" s="48"/>
      <c r="F18" s="48"/>
      <c r="G18" s="48"/>
      <c r="H18" s="48"/>
      <c r="I18" s="2"/>
      <c r="J18" s="2"/>
      <c r="K18" s="49"/>
      <c r="L18" s="49"/>
      <c r="M18" s="57"/>
      <c r="N18" s="91"/>
    </row>
    <row r="19" spans="1:14" ht="14.25">
      <c r="A19" s="89"/>
      <c r="B19" s="48"/>
      <c r="C19" s="48" t="s">
        <v>1092</v>
      </c>
      <c r="D19" s="48" t="s">
        <v>1093</v>
      </c>
      <c r="E19" s="48"/>
      <c r="F19" s="48"/>
      <c r="G19" s="48"/>
      <c r="H19" s="48"/>
      <c r="I19" s="2"/>
      <c r="J19" s="2"/>
      <c r="K19" s="49"/>
      <c r="L19" s="49"/>
      <c r="M19" s="57"/>
      <c r="N19" s="91"/>
    </row>
    <row r="20" spans="1:14" ht="14.25">
      <c r="A20" s="89"/>
      <c r="B20" s="48"/>
      <c r="C20" s="1055" t="s">
        <v>1094</v>
      </c>
      <c r="D20" s="1055"/>
      <c r="E20" s="48" t="s">
        <v>1095</v>
      </c>
      <c r="F20" s="48"/>
      <c r="G20" s="48"/>
      <c r="H20" s="48"/>
      <c r="I20" s="2"/>
      <c r="J20" s="2"/>
      <c r="K20" s="49">
        <v>88447</v>
      </c>
      <c r="L20" s="49">
        <v>88446</v>
      </c>
      <c r="M20" s="57">
        <v>88446</v>
      </c>
      <c r="N20" s="92">
        <f>ROUND(100*M20/L20,1)</f>
        <v>100</v>
      </c>
    </row>
    <row r="21" spans="1:14" ht="14.25">
      <c r="A21" s="89"/>
      <c r="B21" s="48"/>
      <c r="C21" s="1055" t="s">
        <v>1096</v>
      </c>
      <c r="D21" s="1055"/>
      <c r="E21" s="48" t="s">
        <v>1097</v>
      </c>
      <c r="F21" s="48"/>
      <c r="G21" s="48"/>
      <c r="H21" s="48"/>
      <c r="I21" s="2"/>
      <c r="J21" s="2"/>
      <c r="K21" s="49">
        <v>230966</v>
      </c>
      <c r="L21" s="49">
        <v>260557</v>
      </c>
      <c r="M21" s="57">
        <v>260557</v>
      </c>
      <c r="N21" s="92">
        <f>ROUND(100*M21/L21,1)</f>
        <v>100</v>
      </c>
    </row>
    <row r="22" spans="1:14" ht="15">
      <c r="A22" s="89"/>
      <c r="B22" s="48"/>
      <c r="C22" s="48"/>
      <c r="D22" s="48"/>
      <c r="E22" s="48" t="s">
        <v>1098</v>
      </c>
      <c r="F22" s="48"/>
      <c r="G22" s="48"/>
      <c r="H22" s="48"/>
      <c r="I22" s="2"/>
      <c r="J22" s="2"/>
      <c r="K22" s="94"/>
      <c r="L22" s="94"/>
      <c r="M22" s="57"/>
      <c r="N22" s="92"/>
    </row>
    <row r="23" spans="1:14" ht="14.25">
      <c r="A23" s="89"/>
      <c r="B23" s="48"/>
      <c r="C23" s="48" t="s">
        <v>1092</v>
      </c>
      <c r="D23" s="48" t="s">
        <v>1099</v>
      </c>
      <c r="E23" s="48"/>
      <c r="F23" s="48"/>
      <c r="G23" s="48"/>
      <c r="H23" s="48"/>
      <c r="I23" s="2"/>
      <c r="J23" s="2"/>
      <c r="K23" s="49">
        <f>SUM(K20:K22)</f>
        <v>319413</v>
      </c>
      <c r="L23" s="49">
        <f>SUM(L20:L22)</f>
        <v>349003</v>
      </c>
      <c r="M23" s="53">
        <f>SUM(M20:M21)</f>
        <v>349003</v>
      </c>
      <c r="N23" s="92">
        <f>ROUND(100*M23/L23,1)</f>
        <v>100</v>
      </c>
    </row>
    <row r="24" spans="1:14" ht="14.25">
      <c r="A24" s="89"/>
      <c r="B24" s="48"/>
      <c r="C24" s="48" t="s">
        <v>1100</v>
      </c>
      <c r="D24" s="48" t="s">
        <v>1101</v>
      </c>
      <c r="E24" s="48"/>
      <c r="F24" s="48"/>
      <c r="G24" s="48"/>
      <c r="H24" s="48"/>
      <c r="I24" s="2"/>
      <c r="J24" s="2"/>
      <c r="K24" s="49">
        <v>58000</v>
      </c>
      <c r="L24" s="49">
        <v>69344</v>
      </c>
      <c r="M24" s="57">
        <v>69344</v>
      </c>
      <c r="N24" s="92">
        <f>ROUND(100*M24/L24,1)</f>
        <v>100</v>
      </c>
    </row>
    <row r="25" spans="1:14" ht="12.75" customHeight="1">
      <c r="A25" s="89"/>
      <c r="B25" s="48"/>
      <c r="C25" s="48" t="s">
        <v>1102</v>
      </c>
      <c r="D25" s="48" t="s">
        <v>1103</v>
      </c>
      <c r="E25" s="48"/>
      <c r="F25" s="48"/>
      <c r="G25" s="48"/>
      <c r="H25" s="48"/>
      <c r="I25" s="2"/>
      <c r="J25" s="2"/>
      <c r="K25" s="49"/>
      <c r="L25" s="49"/>
      <c r="M25" s="57"/>
      <c r="N25" s="92"/>
    </row>
    <row r="26" spans="1:14" ht="14.25">
      <c r="A26" s="89"/>
      <c r="B26" s="48" t="s">
        <v>996</v>
      </c>
      <c r="C26" s="48" t="s">
        <v>1091</v>
      </c>
      <c r="D26" s="48"/>
      <c r="E26" s="48"/>
      <c r="F26" s="48"/>
      <c r="G26" s="48"/>
      <c r="H26" s="48"/>
      <c r="I26" s="2"/>
      <c r="J26" s="2"/>
      <c r="K26" s="49">
        <f>SUM(K23:K25)</f>
        <v>377413</v>
      </c>
      <c r="L26" s="49">
        <f>SUM(L23:L25)</f>
        <v>418347</v>
      </c>
      <c r="M26" s="57">
        <f>SUM(M23:M25)</f>
        <v>418347</v>
      </c>
      <c r="N26" s="92">
        <f>ROUND(100*M26/L26,1)</f>
        <v>100</v>
      </c>
    </row>
    <row r="27" spans="1:14" ht="12.75" customHeight="1">
      <c r="A27" s="89"/>
      <c r="B27" s="48" t="s">
        <v>999</v>
      </c>
      <c r="C27" s="48" t="s">
        <v>1104</v>
      </c>
      <c r="D27" s="48"/>
      <c r="E27" s="48"/>
      <c r="F27" s="48"/>
      <c r="G27" s="48"/>
      <c r="H27" s="48"/>
      <c r="I27" s="2"/>
      <c r="J27" s="2"/>
      <c r="K27" s="42"/>
      <c r="L27" s="42">
        <v>505</v>
      </c>
      <c r="M27" s="57">
        <v>505</v>
      </c>
      <c r="N27" s="92">
        <f>ROUND(100*M27/L27,1)</f>
        <v>100</v>
      </c>
    </row>
    <row r="28" spans="1:14" ht="12.75" customHeight="1">
      <c r="A28" s="89"/>
      <c r="B28" s="48" t="s">
        <v>1003</v>
      </c>
      <c r="C28" s="48" t="s">
        <v>1105</v>
      </c>
      <c r="D28" s="48"/>
      <c r="E28" s="48"/>
      <c r="F28" s="48"/>
      <c r="G28" s="48"/>
      <c r="H28" s="48"/>
      <c r="I28" s="2"/>
      <c r="J28" s="2"/>
      <c r="K28" s="42"/>
      <c r="L28" s="42">
        <v>447</v>
      </c>
      <c r="M28" s="57">
        <v>447</v>
      </c>
      <c r="N28" s="92">
        <f>ROUND(100*M28/L28,1)</f>
        <v>100</v>
      </c>
    </row>
    <row r="29" spans="1:14" ht="12.75" customHeight="1">
      <c r="A29" s="89"/>
      <c r="B29" s="48" t="s">
        <v>1006</v>
      </c>
      <c r="C29" s="48" t="s">
        <v>1106</v>
      </c>
      <c r="D29" s="48"/>
      <c r="E29" s="48"/>
      <c r="F29" s="48"/>
      <c r="G29" s="48"/>
      <c r="H29" s="48"/>
      <c r="I29" s="2"/>
      <c r="J29" s="2"/>
      <c r="K29" s="42"/>
      <c r="L29" s="42">
        <v>1172</v>
      </c>
      <c r="M29" s="57">
        <v>1172</v>
      </c>
      <c r="N29" s="92">
        <f>ROUND(100*M29/L29,1)</f>
        <v>100</v>
      </c>
    </row>
    <row r="30" spans="1:14" ht="15">
      <c r="A30" s="89" t="s">
        <v>987</v>
      </c>
      <c r="B30" s="48" t="s">
        <v>994</v>
      </c>
      <c r="C30" s="48"/>
      <c r="D30" s="48"/>
      <c r="E30" s="48"/>
      <c r="F30" s="48"/>
      <c r="G30" s="48"/>
      <c r="H30" s="48"/>
      <c r="I30" s="2"/>
      <c r="J30" s="2"/>
      <c r="K30" s="94">
        <f>SUM(K16,K17,K26,K27,K28,K29)</f>
        <v>581913</v>
      </c>
      <c r="L30" s="94">
        <f>SUM(L16,L17,L26:L29)</f>
        <v>703977</v>
      </c>
      <c r="M30" s="95">
        <f>SUM(M16,M17,M26,M27,M28,M29)</f>
        <v>703977</v>
      </c>
      <c r="N30" s="96">
        <f>ROUND(100*M30/L30,1)</f>
        <v>100</v>
      </c>
    </row>
    <row r="31" spans="1:14" ht="14.25">
      <c r="A31" s="89" t="s">
        <v>1030</v>
      </c>
      <c r="B31" s="48" t="s">
        <v>1107</v>
      </c>
      <c r="C31" s="48"/>
      <c r="D31" s="48"/>
      <c r="E31" s="48"/>
      <c r="F31" s="48"/>
      <c r="G31" s="48"/>
      <c r="H31" s="48"/>
      <c r="I31" s="2"/>
      <c r="J31" s="2"/>
      <c r="K31" s="49"/>
      <c r="L31" s="49"/>
      <c r="M31" s="57"/>
      <c r="N31" s="92"/>
    </row>
    <row r="32" spans="1:14" ht="14.25">
      <c r="A32" s="89"/>
      <c r="B32" s="48" t="s">
        <v>1033</v>
      </c>
      <c r="C32" s="48" t="s">
        <v>1108</v>
      </c>
      <c r="D32" s="48"/>
      <c r="E32" s="48"/>
      <c r="F32" s="48"/>
      <c r="G32" s="48"/>
      <c r="H32" s="48"/>
      <c r="I32" s="2"/>
      <c r="J32" s="2"/>
      <c r="K32" s="49">
        <v>50535</v>
      </c>
      <c r="L32" s="49">
        <v>2465</v>
      </c>
      <c r="M32" s="57">
        <v>2465</v>
      </c>
      <c r="N32" s="92">
        <f>ROUND(100*M32/L32,1)</f>
        <v>100</v>
      </c>
    </row>
    <row r="33" spans="1:14" ht="15">
      <c r="A33" s="89" t="s">
        <v>1030</v>
      </c>
      <c r="B33" s="48" t="s">
        <v>1107</v>
      </c>
      <c r="C33" s="48"/>
      <c r="D33" s="48"/>
      <c r="E33" s="48"/>
      <c r="F33" s="48"/>
      <c r="G33" s="48"/>
      <c r="H33" s="48"/>
      <c r="I33" s="2"/>
      <c r="J33" s="2"/>
      <c r="K33" s="94">
        <f>SUM(K32)</f>
        <v>50535</v>
      </c>
      <c r="L33" s="94">
        <f>SUM(L32)</f>
        <v>2465</v>
      </c>
      <c r="M33" s="97">
        <v>2465</v>
      </c>
      <c r="N33" s="96">
        <f>ROUND(100*M33/L33,1)</f>
        <v>100</v>
      </c>
    </row>
    <row r="34" spans="1:14" ht="14.25">
      <c r="A34" s="89" t="s">
        <v>1074</v>
      </c>
      <c r="B34" s="48" t="s">
        <v>997</v>
      </c>
      <c r="C34" s="48"/>
      <c r="D34" s="48"/>
      <c r="E34" s="48"/>
      <c r="F34" s="48"/>
      <c r="G34" s="48"/>
      <c r="H34" s="48"/>
      <c r="I34" s="2"/>
      <c r="J34" s="2"/>
      <c r="K34" s="49"/>
      <c r="L34" s="49"/>
      <c r="M34" s="57"/>
      <c r="N34" s="92"/>
    </row>
    <row r="35" spans="1:14" ht="14.25">
      <c r="A35" s="89"/>
      <c r="B35" s="93" t="s">
        <v>1109</v>
      </c>
      <c r="C35" s="48" t="s">
        <v>1110</v>
      </c>
      <c r="D35" s="48"/>
      <c r="E35" s="48"/>
      <c r="F35" s="48"/>
      <c r="G35" s="48"/>
      <c r="H35" s="48"/>
      <c r="I35" s="2"/>
      <c r="J35" s="2"/>
      <c r="K35" s="98">
        <v>972641</v>
      </c>
      <c r="L35" s="98">
        <v>973750</v>
      </c>
      <c r="M35" s="99">
        <v>973750</v>
      </c>
      <c r="N35" s="100">
        <f aca="true" t="shared" si="0" ref="N35:N44">ROUND(100*M35/L35,1)</f>
        <v>100</v>
      </c>
    </row>
    <row r="36" spans="1:14" ht="14.25">
      <c r="A36" s="89"/>
      <c r="B36" s="93" t="s">
        <v>1111</v>
      </c>
      <c r="C36" s="48" t="s">
        <v>1112</v>
      </c>
      <c r="D36" s="48"/>
      <c r="E36" s="48"/>
      <c r="F36" s="48"/>
      <c r="G36" s="48"/>
      <c r="H36" s="48"/>
      <c r="I36" s="2"/>
      <c r="J36" s="2"/>
      <c r="K36" s="49"/>
      <c r="L36" s="98">
        <f>SUM(L37:L53)</f>
        <v>128623</v>
      </c>
      <c r="M36" s="99">
        <f>SUM(M37:M53)</f>
        <v>128623</v>
      </c>
      <c r="N36" s="100">
        <f t="shared" si="0"/>
        <v>100</v>
      </c>
    </row>
    <row r="37" spans="1:17" ht="14.25">
      <c r="A37" s="89"/>
      <c r="B37" s="93" t="s">
        <v>1113</v>
      </c>
      <c r="C37" s="48" t="s">
        <v>1114</v>
      </c>
      <c r="D37" s="48"/>
      <c r="E37" s="48"/>
      <c r="F37" s="48"/>
      <c r="G37" s="48"/>
      <c r="H37" s="48"/>
      <c r="I37" s="2"/>
      <c r="J37" s="2"/>
      <c r="K37" s="49"/>
      <c r="L37" s="49">
        <v>57119</v>
      </c>
      <c r="M37" s="57">
        <v>57119</v>
      </c>
      <c r="N37" s="92">
        <f t="shared" si="0"/>
        <v>100</v>
      </c>
      <c r="O37" s="101"/>
      <c r="Q37" s="101"/>
    </row>
    <row r="38" spans="1:15" ht="14.25">
      <c r="A38" s="89"/>
      <c r="B38" s="93" t="s">
        <v>1115</v>
      </c>
      <c r="C38" s="48" t="s">
        <v>1116</v>
      </c>
      <c r="D38" s="48"/>
      <c r="E38" s="48"/>
      <c r="F38" s="48"/>
      <c r="G38" s="48"/>
      <c r="H38" s="48"/>
      <c r="I38" s="2"/>
      <c r="J38" s="2"/>
      <c r="K38" s="49"/>
      <c r="L38" s="49">
        <v>934</v>
      </c>
      <c r="M38" s="57">
        <v>934</v>
      </c>
      <c r="N38" s="92">
        <f t="shared" si="0"/>
        <v>100</v>
      </c>
      <c r="O38" s="101"/>
    </row>
    <row r="39" spans="1:14" ht="14.25">
      <c r="A39" s="89"/>
      <c r="B39" s="93" t="s">
        <v>1117</v>
      </c>
      <c r="C39" s="48" t="s">
        <v>1118</v>
      </c>
      <c r="D39" s="48"/>
      <c r="E39" s="48"/>
      <c r="F39" s="48"/>
      <c r="G39" s="48"/>
      <c r="H39" s="48"/>
      <c r="I39" s="2"/>
      <c r="J39" s="2"/>
      <c r="K39" s="49"/>
      <c r="L39" s="49">
        <v>4646</v>
      </c>
      <c r="M39" s="57">
        <v>4646</v>
      </c>
      <c r="N39" s="92">
        <f t="shared" si="0"/>
        <v>100</v>
      </c>
    </row>
    <row r="40" spans="1:14" ht="14.25">
      <c r="A40" s="89"/>
      <c r="B40" s="93" t="s">
        <v>1119</v>
      </c>
      <c r="C40" s="48" t="s">
        <v>1120</v>
      </c>
      <c r="D40" s="102"/>
      <c r="E40" s="48"/>
      <c r="F40" s="48"/>
      <c r="G40" s="48"/>
      <c r="H40" s="48"/>
      <c r="I40" s="2"/>
      <c r="J40" s="2"/>
      <c r="K40" s="49"/>
      <c r="L40" s="49">
        <v>1045</v>
      </c>
      <c r="M40" s="57">
        <v>1045</v>
      </c>
      <c r="N40" s="92">
        <f t="shared" si="0"/>
        <v>100</v>
      </c>
    </row>
    <row r="41" spans="1:16" ht="14.25">
      <c r="A41" s="89"/>
      <c r="B41" s="93" t="s">
        <v>1121</v>
      </c>
      <c r="C41" s="103" t="s">
        <v>1122</v>
      </c>
      <c r="D41" s="103"/>
      <c r="E41" s="48"/>
      <c r="F41" s="48"/>
      <c r="G41" s="48"/>
      <c r="H41" s="48"/>
      <c r="I41" s="2"/>
      <c r="J41" s="2"/>
      <c r="K41" s="49"/>
      <c r="L41" s="49">
        <v>44</v>
      </c>
      <c r="M41" s="57">
        <v>44</v>
      </c>
      <c r="N41" s="92">
        <f t="shared" si="0"/>
        <v>100</v>
      </c>
      <c r="O41" s="101"/>
      <c r="P41" s="101"/>
    </row>
    <row r="42" spans="1:14" ht="14.25">
      <c r="A42" s="89"/>
      <c r="B42" s="93" t="s">
        <v>1123</v>
      </c>
      <c r="C42" s="103" t="s">
        <v>1124</v>
      </c>
      <c r="D42" s="103"/>
      <c r="E42" s="48"/>
      <c r="F42" s="48"/>
      <c r="G42" s="48"/>
      <c r="H42" s="48"/>
      <c r="I42" s="2"/>
      <c r="J42" s="2"/>
      <c r="K42" s="49"/>
      <c r="L42" s="49">
        <v>1289</v>
      </c>
      <c r="M42" s="57">
        <v>1289</v>
      </c>
      <c r="N42" s="92">
        <f t="shared" si="0"/>
        <v>100</v>
      </c>
    </row>
    <row r="43" spans="1:15" ht="14.25">
      <c r="A43" s="89"/>
      <c r="B43" s="93" t="s">
        <v>1125</v>
      </c>
      <c r="C43" s="103" t="s">
        <v>1126</v>
      </c>
      <c r="D43" s="103"/>
      <c r="E43" s="48"/>
      <c r="F43" s="48"/>
      <c r="G43" s="48"/>
      <c r="H43" s="48"/>
      <c r="I43" s="2"/>
      <c r="J43" s="2"/>
      <c r="K43" s="49"/>
      <c r="L43" s="49">
        <v>398</v>
      </c>
      <c r="M43" s="57">
        <v>398</v>
      </c>
      <c r="N43" s="92">
        <f t="shared" si="0"/>
        <v>100</v>
      </c>
      <c r="O43" s="101"/>
    </row>
    <row r="44" spans="1:14" ht="14.25">
      <c r="A44" s="89"/>
      <c r="B44" s="93" t="s">
        <v>1127</v>
      </c>
      <c r="C44" s="48" t="s">
        <v>1128</v>
      </c>
      <c r="D44" s="48"/>
      <c r="E44" s="48"/>
      <c r="F44" s="48"/>
      <c r="G44" s="48"/>
      <c r="H44" s="48"/>
      <c r="I44" s="2"/>
      <c r="J44" s="2"/>
      <c r="K44" s="49"/>
      <c r="L44" s="49">
        <v>12308</v>
      </c>
      <c r="M44" s="57">
        <v>12308</v>
      </c>
      <c r="N44" s="92">
        <f t="shared" si="0"/>
        <v>100</v>
      </c>
    </row>
    <row r="45" spans="1:14" ht="14.25">
      <c r="A45" s="89"/>
      <c r="B45" s="48"/>
      <c r="C45" s="48" t="s">
        <v>1129</v>
      </c>
      <c r="D45" s="48"/>
      <c r="E45" s="48"/>
      <c r="F45" s="48"/>
      <c r="G45" s="48"/>
      <c r="H45" s="48"/>
      <c r="I45" s="2"/>
      <c r="J45" s="2"/>
      <c r="K45" s="49"/>
      <c r="L45" s="49"/>
      <c r="M45" s="57"/>
      <c r="N45" s="92"/>
    </row>
    <row r="46" spans="1:14" ht="14.25">
      <c r="A46" s="89"/>
      <c r="B46" s="93" t="s">
        <v>1130</v>
      </c>
      <c r="C46" s="48" t="s">
        <v>1131</v>
      </c>
      <c r="D46" s="48"/>
      <c r="E46" s="48"/>
      <c r="F46" s="48"/>
      <c r="G46" s="48"/>
      <c r="H46" s="48"/>
      <c r="I46" s="2"/>
      <c r="J46" s="2"/>
      <c r="K46" s="49"/>
      <c r="L46" s="49">
        <v>1100</v>
      </c>
      <c r="M46" s="57">
        <v>1100</v>
      </c>
      <c r="N46" s="92">
        <f aca="true" t="shared" si="1" ref="N46:N51">ROUND(100*M46/L46,1)</f>
        <v>100</v>
      </c>
    </row>
    <row r="47" spans="1:14" ht="14.25">
      <c r="A47" s="89"/>
      <c r="B47" s="93" t="s">
        <v>1132</v>
      </c>
      <c r="C47" s="48" t="s">
        <v>1133</v>
      </c>
      <c r="D47" s="48"/>
      <c r="E47" s="48"/>
      <c r="F47" s="48"/>
      <c r="G47" s="48"/>
      <c r="H47" s="48"/>
      <c r="I47" s="2"/>
      <c r="J47" s="2"/>
      <c r="K47" s="49"/>
      <c r="L47" s="49">
        <v>1125</v>
      </c>
      <c r="M47" s="57">
        <v>1125</v>
      </c>
      <c r="N47" s="92">
        <f t="shared" si="1"/>
        <v>100</v>
      </c>
    </row>
    <row r="48" spans="1:14" ht="14.25">
      <c r="A48" s="89"/>
      <c r="B48" s="93" t="s">
        <v>1134</v>
      </c>
      <c r="C48" s="48" t="s">
        <v>1135</v>
      </c>
      <c r="D48" s="48"/>
      <c r="E48" s="48"/>
      <c r="F48" s="48"/>
      <c r="G48" s="48"/>
      <c r="H48" s="48"/>
      <c r="I48" s="2"/>
      <c r="J48" s="2"/>
      <c r="K48" s="49"/>
      <c r="L48" s="49">
        <v>220</v>
      </c>
      <c r="M48" s="57">
        <v>220</v>
      </c>
      <c r="N48" s="92">
        <f t="shared" si="1"/>
        <v>100</v>
      </c>
    </row>
    <row r="49" spans="1:14" ht="14.25">
      <c r="A49" s="89"/>
      <c r="B49" s="93" t="s">
        <v>1136</v>
      </c>
      <c r="C49" s="48" t="s">
        <v>1137</v>
      </c>
      <c r="D49" s="48"/>
      <c r="E49" s="48"/>
      <c r="F49" s="48"/>
      <c r="G49" s="48"/>
      <c r="H49" s="48"/>
      <c r="I49" s="2"/>
      <c r="J49" s="2"/>
      <c r="K49" s="49"/>
      <c r="L49" s="49">
        <v>1235</v>
      </c>
      <c r="M49" s="57">
        <v>1235</v>
      </c>
      <c r="N49" s="92">
        <f t="shared" si="1"/>
        <v>100</v>
      </c>
    </row>
    <row r="50" spans="1:14" ht="14.25">
      <c r="A50" s="89"/>
      <c r="B50" s="93" t="s">
        <v>1138</v>
      </c>
      <c r="C50" s="48" t="s">
        <v>1139</v>
      </c>
      <c r="D50" s="48"/>
      <c r="E50" s="48"/>
      <c r="F50" s="48"/>
      <c r="G50" s="48"/>
      <c r="H50" s="48"/>
      <c r="I50" s="2"/>
      <c r="J50" s="2"/>
      <c r="K50" s="49"/>
      <c r="L50" s="49">
        <v>9319</v>
      </c>
      <c r="M50" s="57">
        <v>9319</v>
      </c>
      <c r="N50" s="92">
        <f t="shared" si="1"/>
        <v>100</v>
      </c>
    </row>
    <row r="51" spans="1:14" ht="14.25">
      <c r="A51" s="89"/>
      <c r="B51" s="93" t="s">
        <v>1140</v>
      </c>
      <c r="C51" s="48" t="s">
        <v>1141</v>
      </c>
      <c r="D51" s="48"/>
      <c r="E51" s="48"/>
      <c r="F51" s="48"/>
      <c r="G51" s="48"/>
      <c r="H51" s="48"/>
      <c r="I51" s="2"/>
      <c r="J51" s="2"/>
      <c r="K51" s="49"/>
      <c r="L51" s="49">
        <v>4241</v>
      </c>
      <c r="M51" s="57">
        <v>4241</v>
      </c>
      <c r="N51" s="92">
        <f t="shared" si="1"/>
        <v>100</v>
      </c>
    </row>
    <row r="52" spans="1:14" ht="14.25">
      <c r="A52" s="89"/>
      <c r="B52" s="93"/>
      <c r="C52" s="48" t="s">
        <v>1142</v>
      </c>
      <c r="D52" s="48"/>
      <c r="E52" s="48"/>
      <c r="F52" s="48"/>
      <c r="G52" s="48"/>
      <c r="H52" s="48"/>
      <c r="I52" s="2"/>
      <c r="J52" s="2"/>
      <c r="K52" s="49"/>
      <c r="L52" s="49"/>
      <c r="M52" s="57"/>
      <c r="N52" s="92"/>
    </row>
    <row r="53" spans="1:14" ht="14.25">
      <c r="A53" s="89"/>
      <c r="B53" s="93" t="s">
        <v>1143</v>
      </c>
      <c r="C53" s="48" t="s">
        <v>1144</v>
      </c>
      <c r="D53" s="48"/>
      <c r="E53" s="48"/>
      <c r="F53" s="48"/>
      <c r="G53" s="48"/>
      <c r="H53" s="48"/>
      <c r="I53" s="2"/>
      <c r="J53" s="2"/>
      <c r="K53" s="49"/>
      <c r="L53" s="49">
        <v>33600</v>
      </c>
      <c r="M53" s="57">
        <v>33600</v>
      </c>
      <c r="N53" s="92">
        <f>ROUND(100*M53/L53,1)</f>
        <v>100</v>
      </c>
    </row>
    <row r="54" spans="1:14" ht="14.25">
      <c r="A54" s="89"/>
      <c r="B54" s="93"/>
      <c r="C54" s="48" t="s">
        <v>1145</v>
      </c>
      <c r="D54" s="48"/>
      <c r="E54" s="48"/>
      <c r="F54" s="48"/>
      <c r="G54" s="48"/>
      <c r="H54" s="48"/>
      <c r="I54" s="2"/>
      <c r="J54" s="2"/>
      <c r="K54" s="49"/>
      <c r="L54" s="49"/>
      <c r="M54" s="57"/>
      <c r="N54" s="92"/>
    </row>
    <row r="55" spans="1:15" ht="14.25">
      <c r="A55" s="89"/>
      <c r="B55" s="93" t="s">
        <v>1146</v>
      </c>
      <c r="C55" s="48" t="s">
        <v>1147</v>
      </c>
      <c r="D55" s="48"/>
      <c r="E55" s="48"/>
      <c r="F55" s="48"/>
      <c r="G55" s="48"/>
      <c r="H55" s="48"/>
      <c r="I55" s="2"/>
      <c r="J55" s="2"/>
      <c r="K55" s="98">
        <v>21487</v>
      </c>
      <c r="L55" s="98">
        <v>329254</v>
      </c>
      <c r="M55" s="99">
        <v>329254</v>
      </c>
      <c r="N55" s="100">
        <f aca="true" t="shared" si="2" ref="N55:N61">ROUND(100*M55/L55,1)</f>
        <v>100</v>
      </c>
      <c r="O55" s="101"/>
    </row>
    <row r="56" spans="1:14" ht="14.25">
      <c r="A56" s="89"/>
      <c r="B56" s="93" t="s">
        <v>1148</v>
      </c>
      <c r="C56" s="48" t="s">
        <v>1149</v>
      </c>
      <c r="D56" s="48"/>
      <c r="E56" s="48"/>
      <c r="F56" s="48"/>
      <c r="G56" s="48"/>
      <c r="H56" s="48"/>
      <c r="I56" s="2"/>
      <c r="J56" s="2"/>
      <c r="K56" s="98"/>
      <c r="L56" s="98">
        <v>5000</v>
      </c>
      <c r="M56" s="99">
        <v>5000</v>
      </c>
      <c r="N56" s="100">
        <f t="shared" si="2"/>
        <v>100</v>
      </c>
    </row>
    <row r="57" spans="1:14" ht="14.25">
      <c r="A57" s="89"/>
      <c r="B57" s="93" t="s">
        <v>1150</v>
      </c>
      <c r="C57" s="48" t="s">
        <v>1151</v>
      </c>
      <c r="D57" s="48"/>
      <c r="E57" s="48"/>
      <c r="F57" s="48"/>
      <c r="G57" s="48"/>
      <c r="H57" s="48"/>
      <c r="I57" s="2"/>
      <c r="J57" s="2"/>
      <c r="K57" s="98"/>
      <c r="L57" s="98">
        <v>26779</v>
      </c>
      <c r="M57" s="99">
        <v>26779</v>
      </c>
      <c r="N57" s="100">
        <f t="shared" si="2"/>
        <v>100</v>
      </c>
    </row>
    <row r="58" spans="1:14" ht="14.25">
      <c r="A58" s="89"/>
      <c r="B58" s="93" t="s">
        <v>1152</v>
      </c>
      <c r="C58" s="48" t="s">
        <v>1153</v>
      </c>
      <c r="D58" s="48"/>
      <c r="E58" s="48"/>
      <c r="F58" s="48"/>
      <c r="G58" s="48"/>
      <c r="H58" s="48"/>
      <c r="I58" s="2"/>
      <c r="J58" s="2"/>
      <c r="K58" s="49"/>
      <c r="L58" s="98">
        <v>1029</v>
      </c>
      <c r="M58" s="99">
        <v>1029</v>
      </c>
      <c r="N58" s="100">
        <f t="shared" si="2"/>
        <v>100</v>
      </c>
    </row>
    <row r="59" spans="1:14" ht="14.25">
      <c r="A59" s="89"/>
      <c r="B59" s="93" t="s">
        <v>1154</v>
      </c>
      <c r="C59" s="48" t="s">
        <v>1155</v>
      </c>
      <c r="D59" s="48"/>
      <c r="E59" s="48"/>
      <c r="F59" s="48"/>
      <c r="G59" s="48"/>
      <c r="H59" s="48"/>
      <c r="I59" s="2"/>
      <c r="J59" s="2"/>
      <c r="K59" s="49"/>
      <c r="L59" s="98">
        <v>8252</v>
      </c>
      <c r="M59" s="99">
        <v>8252</v>
      </c>
      <c r="N59" s="100">
        <f t="shared" si="2"/>
        <v>100</v>
      </c>
    </row>
    <row r="60" spans="1:14" ht="15">
      <c r="A60" s="89" t="s">
        <v>1074</v>
      </c>
      <c r="B60" s="48" t="s">
        <v>997</v>
      </c>
      <c r="C60" s="48"/>
      <c r="D60" s="48"/>
      <c r="E60" s="48"/>
      <c r="F60" s="48"/>
      <c r="G60" s="48"/>
      <c r="H60" s="48"/>
      <c r="I60" s="2"/>
      <c r="J60" s="2"/>
      <c r="K60" s="94">
        <f>SUM(K55,K36,K35)</f>
        <v>994128</v>
      </c>
      <c r="L60" s="94">
        <v>1472687</v>
      </c>
      <c r="M60" s="94">
        <f>SUM(M55,M36,M35,M58,M56,M57,M59)</f>
        <v>1472687</v>
      </c>
      <c r="N60" s="96">
        <f t="shared" si="2"/>
        <v>100</v>
      </c>
    </row>
    <row r="61" spans="1:14" ht="19.5" customHeight="1">
      <c r="A61" s="104" t="s">
        <v>1156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6">
        <f>SUM(K60,K33,K30)</f>
        <v>1626576</v>
      </c>
      <c r="L61" s="106">
        <f>SUM(L60,L33,L30)</f>
        <v>2179129</v>
      </c>
      <c r="M61" s="107">
        <f>SUM(M60,M33,M30)</f>
        <v>2179129</v>
      </c>
      <c r="N61" s="108">
        <f t="shared" si="2"/>
        <v>100</v>
      </c>
    </row>
    <row r="62" spans="13:14" ht="12.75">
      <c r="M62" s="101"/>
      <c r="N62" s="101"/>
    </row>
  </sheetData>
  <mergeCells count="6">
    <mergeCell ref="C20:D20"/>
    <mergeCell ref="C21:D21"/>
    <mergeCell ref="M1:N1"/>
    <mergeCell ref="A3:N3"/>
    <mergeCell ref="A4:N4"/>
    <mergeCell ref="A7:J7"/>
  </mergeCells>
  <printOptions horizontalCentered="1"/>
  <pageMargins left="0.7875" right="0.7875" top="0.5902777777777778" bottom="0.7875" header="0.5118055555555556" footer="0.5118055555555556"/>
  <pageSetup cellComments="atEnd" horizontalDpi="300" verticalDpi="3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43"/>
  <sheetViews>
    <sheetView workbookViewId="0" topLeftCell="A43">
      <selection activeCell="D69" sqref="D69"/>
    </sheetView>
  </sheetViews>
  <sheetFormatPr defaultColWidth="9.140625" defaultRowHeight="12.75"/>
  <cols>
    <col min="4" max="4" width="43.8515625" style="0" customWidth="1"/>
    <col min="5" max="5" width="9.57421875" style="0" bestFit="1" customWidth="1"/>
    <col min="6" max="6" width="11.421875" style="0" bestFit="1" customWidth="1"/>
    <col min="7" max="7" width="14.00390625" style="0" bestFit="1" customWidth="1"/>
  </cols>
  <sheetData>
    <row r="1" spans="1:8" ht="14.25">
      <c r="A1" s="985"/>
      <c r="B1" s="985"/>
      <c r="C1" s="985"/>
      <c r="D1" s="985"/>
      <c r="E1" s="985"/>
      <c r="F1" s="985"/>
      <c r="G1" s="1190" t="s">
        <v>438</v>
      </c>
      <c r="H1" s="1190"/>
    </row>
    <row r="2" spans="1:8" ht="12.75">
      <c r="A2" s="985"/>
      <c r="B2" s="985"/>
      <c r="C2" s="985"/>
      <c r="D2" s="985"/>
      <c r="E2" s="985"/>
      <c r="F2" s="985"/>
      <c r="G2" s="985"/>
      <c r="H2" s="985"/>
    </row>
    <row r="3" spans="1:8" ht="12.75" customHeight="1">
      <c r="A3" s="1191" t="s">
        <v>439</v>
      </c>
      <c r="B3" s="1191"/>
      <c r="C3" s="1191"/>
      <c r="D3" s="1191"/>
      <c r="E3" s="1191"/>
      <c r="F3" s="1191"/>
      <c r="G3" s="1191"/>
      <c r="H3" s="1191"/>
    </row>
    <row r="4" spans="1:8" ht="12.75" customHeight="1">
      <c r="A4" s="1191"/>
      <c r="B4" s="1191"/>
      <c r="C4" s="1191"/>
      <c r="D4" s="1191"/>
      <c r="E4" s="1191"/>
      <c r="F4" s="1191"/>
      <c r="G4" s="1191"/>
      <c r="H4" s="1191"/>
    </row>
    <row r="5" spans="1:8" ht="15">
      <c r="A5" s="1192" t="s">
        <v>440</v>
      </c>
      <c r="B5" s="1192"/>
      <c r="C5" s="1192"/>
      <c r="D5" s="1192"/>
      <c r="E5" s="1192"/>
      <c r="F5" s="1192"/>
      <c r="G5" s="1192"/>
      <c r="H5" s="1192"/>
    </row>
    <row r="6" spans="1:8" ht="15">
      <c r="A6" s="1192" t="s">
        <v>173</v>
      </c>
      <c r="B6" s="1192"/>
      <c r="C6" s="1192"/>
      <c r="D6" s="1192"/>
      <c r="E6" s="1192"/>
      <c r="F6" s="1192"/>
      <c r="G6" s="1192"/>
      <c r="H6" s="1192"/>
    </row>
    <row r="7" spans="1:8" ht="12.75">
      <c r="A7" s="986"/>
      <c r="B7" s="986"/>
      <c r="C7" s="986"/>
      <c r="D7" s="986"/>
      <c r="E7" s="986"/>
      <c r="F7" s="986"/>
      <c r="G7" s="986"/>
      <c r="H7" s="986"/>
    </row>
    <row r="8" spans="1:8" ht="15" thickBot="1">
      <c r="A8" s="985"/>
      <c r="B8" s="985"/>
      <c r="C8" s="985"/>
      <c r="D8" s="985"/>
      <c r="E8" s="985"/>
      <c r="F8" s="985"/>
      <c r="G8" s="985"/>
      <c r="H8" s="1051" t="s">
        <v>1305</v>
      </c>
    </row>
    <row r="9" spans="1:8" ht="14.25" customHeight="1">
      <c r="A9" s="1097" t="s">
        <v>441</v>
      </c>
      <c r="B9" s="1098"/>
      <c r="C9" s="1098"/>
      <c r="D9" s="1099"/>
      <c r="E9" s="1103" t="s">
        <v>442</v>
      </c>
      <c r="F9" s="988" t="s">
        <v>443</v>
      </c>
      <c r="G9" s="988" t="s">
        <v>444</v>
      </c>
      <c r="H9" s="989" t="s">
        <v>445</v>
      </c>
    </row>
    <row r="10" spans="1:8" ht="14.25" customHeight="1">
      <c r="A10" s="1100"/>
      <c r="B10" s="1101"/>
      <c r="C10" s="1101"/>
      <c r="D10" s="1102"/>
      <c r="E10" s="1104"/>
      <c r="F10" s="1133" t="s">
        <v>446</v>
      </c>
      <c r="G10" s="1133"/>
      <c r="H10" s="1134"/>
    </row>
    <row r="11" spans="1:8" ht="13.5" thickBot="1">
      <c r="A11" s="1111">
        <v>1</v>
      </c>
      <c r="B11" s="1112"/>
      <c r="C11" s="1112"/>
      <c r="D11" s="1112"/>
      <c r="E11" s="995">
        <v>2</v>
      </c>
      <c r="F11" s="995">
        <v>3</v>
      </c>
      <c r="G11" s="995">
        <v>4</v>
      </c>
      <c r="H11" s="996">
        <v>5</v>
      </c>
    </row>
    <row r="12" spans="1:8" ht="15.75">
      <c r="A12" s="1187" t="s">
        <v>447</v>
      </c>
      <c r="B12" s="1188"/>
      <c r="C12" s="1188"/>
      <c r="D12" s="1189"/>
      <c r="E12" s="997" t="s">
        <v>448</v>
      </c>
      <c r="F12" s="998">
        <f>SUM(F13,F20,F23:F25)</f>
        <v>111188</v>
      </c>
      <c r="G12" s="999">
        <f>SUM(G13,G20,G23:G25)</f>
        <v>41782</v>
      </c>
      <c r="H12" s="1000"/>
    </row>
    <row r="13" spans="1:8" ht="15">
      <c r="A13" s="1119" t="s">
        <v>449</v>
      </c>
      <c r="B13" s="1120"/>
      <c r="C13" s="1120"/>
      <c r="D13" s="1121"/>
      <c r="E13" s="1001" t="s">
        <v>450</v>
      </c>
      <c r="F13" s="1002">
        <f>SUM(F14,F17)</f>
        <v>107703</v>
      </c>
      <c r="G13" s="1002">
        <f>SUM(G14,G17)</f>
        <v>40316</v>
      </c>
      <c r="H13" s="1003"/>
    </row>
    <row r="14" spans="1:8" ht="12.75">
      <c r="A14" s="1144" t="s">
        <v>451</v>
      </c>
      <c r="B14" s="1145"/>
      <c r="C14" s="1145"/>
      <c r="D14" s="1146"/>
      <c r="E14" s="1001" t="s">
        <v>452</v>
      </c>
      <c r="F14" s="1004">
        <f>SUM(F15:F16)</f>
        <v>831</v>
      </c>
      <c r="G14" s="1004">
        <f>SUM(G15:G16)</f>
        <v>725</v>
      </c>
      <c r="H14" s="1003"/>
    </row>
    <row r="15" spans="1:8" ht="12.75">
      <c r="A15" s="1144" t="s">
        <v>453</v>
      </c>
      <c r="B15" s="1145"/>
      <c r="C15" s="1145"/>
      <c r="D15" s="1146"/>
      <c r="E15" s="1001" t="s">
        <v>454</v>
      </c>
      <c r="F15" s="1004">
        <v>831</v>
      </c>
      <c r="G15" s="1004">
        <v>725</v>
      </c>
      <c r="H15" s="1003"/>
    </row>
    <row r="16" spans="1:8" ht="12.75">
      <c r="A16" s="1144" t="s">
        <v>455</v>
      </c>
      <c r="B16" s="1145"/>
      <c r="C16" s="1145"/>
      <c r="D16" s="1146"/>
      <c r="E16" s="1001" t="s">
        <v>456</v>
      </c>
      <c r="F16" s="1004"/>
      <c r="G16" s="1004"/>
      <c r="H16" s="1003"/>
    </row>
    <row r="17" spans="1:8" ht="12.75">
      <c r="A17" s="1144" t="s">
        <v>457</v>
      </c>
      <c r="B17" s="1145"/>
      <c r="C17" s="1145"/>
      <c r="D17" s="1146"/>
      <c r="E17" s="1001" t="s">
        <v>458</v>
      </c>
      <c r="F17" s="1004">
        <f>SUM(F18:F19)</f>
        <v>106872</v>
      </c>
      <c r="G17" s="1004">
        <f>SUM(G18:G19)</f>
        <v>39591</v>
      </c>
      <c r="H17" s="1003"/>
    </row>
    <row r="18" spans="1:8" ht="12.75">
      <c r="A18" s="1144" t="s">
        <v>459</v>
      </c>
      <c r="B18" s="1145"/>
      <c r="C18" s="1145"/>
      <c r="D18" s="1146"/>
      <c r="E18" s="1001" t="s">
        <v>460</v>
      </c>
      <c r="F18" s="1004">
        <f>49429+7054</f>
        <v>56483</v>
      </c>
      <c r="G18" s="1004">
        <f>37065+2526</f>
        <v>39591</v>
      </c>
      <c r="H18" s="1003"/>
    </row>
    <row r="19" spans="1:8" ht="12.75">
      <c r="A19" s="1144" t="s">
        <v>461</v>
      </c>
      <c r="B19" s="1145"/>
      <c r="C19" s="1145"/>
      <c r="D19" s="1146"/>
      <c r="E19" s="1001" t="s">
        <v>462</v>
      </c>
      <c r="F19" s="1004">
        <f>13406+36983</f>
        <v>50389</v>
      </c>
      <c r="G19" s="1004"/>
      <c r="H19" s="1003"/>
    </row>
    <row r="20" spans="1:8" ht="15">
      <c r="A20" s="1119" t="s">
        <v>463</v>
      </c>
      <c r="B20" s="1120"/>
      <c r="C20" s="1120"/>
      <c r="D20" s="1121"/>
      <c r="E20" s="1001" t="s">
        <v>464</v>
      </c>
      <c r="F20" s="1002">
        <f>SUM(F21:F22)</f>
        <v>3485</v>
      </c>
      <c r="G20" s="1002">
        <f>SUM(G21:G22)</f>
        <v>1466</v>
      </c>
      <c r="H20" s="1003"/>
    </row>
    <row r="21" spans="1:8" ht="12.75">
      <c r="A21" s="1144" t="s">
        <v>465</v>
      </c>
      <c r="B21" s="1145"/>
      <c r="C21" s="1145"/>
      <c r="D21" s="1146"/>
      <c r="E21" s="1001" t="s">
        <v>1176</v>
      </c>
      <c r="F21" s="1004">
        <v>3485</v>
      </c>
      <c r="G21" s="1004">
        <v>1466</v>
      </c>
      <c r="H21" s="1003"/>
    </row>
    <row r="22" spans="1:8" ht="12.75">
      <c r="A22" s="1144" t="s">
        <v>466</v>
      </c>
      <c r="B22" s="1145"/>
      <c r="C22" s="1145"/>
      <c r="D22" s="1146"/>
      <c r="E22" s="1001" t="s">
        <v>1178</v>
      </c>
      <c r="F22" s="1004"/>
      <c r="G22" s="1004"/>
      <c r="H22" s="1003"/>
    </row>
    <row r="23" spans="1:8" ht="14.25">
      <c r="A23" s="1119" t="s">
        <v>467</v>
      </c>
      <c r="B23" s="1120"/>
      <c r="C23" s="1120"/>
      <c r="D23" s="1121"/>
      <c r="E23" s="1001" t="s">
        <v>1181</v>
      </c>
      <c r="F23" s="1004"/>
      <c r="G23" s="1004">
        <v>0</v>
      </c>
      <c r="H23" s="1003"/>
    </row>
    <row r="24" spans="1:8" ht="14.25">
      <c r="A24" s="1119" t="s">
        <v>468</v>
      </c>
      <c r="B24" s="1120"/>
      <c r="C24" s="1120"/>
      <c r="D24" s="1121"/>
      <c r="E24" s="1001" t="s">
        <v>1184</v>
      </c>
      <c r="F24" s="1004"/>
      <c r="G24" s="1004"/>
      <c r="H24" s="1003"/>
    </row>
    <row r="25" spans="1:8" ht="14.25">
      <c r="A25" s="1119" t="s">
        <v>469</v>
      </c>
      <c r="B25" s="1120"/>
      <c r="C25" s="1120"/>
      <c r="D25" s="1121"/>
      <c r="E25" s="1001" t="s">
        <v>1319</v>
      </c>
      <c r="F25" s="1004"/>
      <c r="G25" s="1004">
        <v>0</v>
      </c>
      <c r="H25" s="1003"/>
    </row>
    <row r="26" spans="1:8" ht="15.75">
      <c r="A26" s="1130" t="s">
        <v>470</v>
      </c>
      <c r="B26" s="1131"/>
      <c r="C26" s="1131"/>
      <c r="D26" s="1132"/>
      <c r="E26" s="1001" t="s">
        <v>1321</v>
      </c>
      <c r="F26" s="1005">
        <f>SUM(F27,F106,F126,F154)</f>
        <v>5698005</v>
      </c>
      <c r="G26" s="1006">
        <f>SUM(G27,G106,G126,G154)</f>
        <v>4597332</v>
      </c>
      <c r="H26" s="1003"/>
    </row>
    <row r="27" spans="1:8" ht="15">
      <c r="A27" s="1184" t="s">
        <v>471</v>
      </c>
      <c r="B27" s="1185"/>
      <c r="C27" s="1185"/>
      <c r="D27" s="1186"/>
      <c r="E27" s="1001" t="s">
        <v>1188</v>
      </c>
      <c r="F27" s="1002">
        <f>SUM(F28,F93,F104:F105)</f>
        <v>5245813</v>
      </c>
      <c r="G27" s="1007">
        <f>SUM(G28,G93,G104:G105)</f>
        <v>4484150</v>
      </c>
      <c r="H27" s="1003"/>
    </row>
    <row r="28" spans="1:8" ht="15">
      <c r="A28" s="1119" t="s">
        <v>472</v>
      </c>
      <c r="B28" s="1120"/>
      <c r="C28" s="1120"/>
      <c r="D28" s="1121"/>
      <c r="E28" s="1001" t="s">
        <v>1324</v>
      </c>
      <c r="F28" s="1002">
        <f>SUM(F29,F49)</f>
        <v>3707823</v>
      </c>
      <c r="G28" s="1002">
        <f>SUM(G29,G49)</f>
        <v>3141586</v>
      </c>
      <c r="H28" s="1003"/>
    </row>
    <row r="29" spans="1:8" ht="14.25">
      <c r="A29" s="1164" t="s">
        <v>473</v>
      </c>
      <c r="B29" s="1165"/>
      <c r="C29" s="1165"/>
      <c r="D29" s="1166"/>
      <c r="E29" s="1008" t="s">
        <v>1326</v>
      </c>
      <c r="F29" s="1009">
        <f>SUM(F30,F33,F36,F39,F42,F45,F48)</f>
        <v>1624705</v>
      </c>
      <c r="G29" s="1009">
        <f>SUM(G30,G33,G36,G39,G42,G45,G48)</f>
        <v>1385437</v>
      </c>
      <c r="H29" s="1010"/>
    </row>
    <row r="30" spans="1:8" ht="12.75">
      <c r="A30" s="1144" t="s">
        <v>474</v>
      </c>
      <c r="B30" s="1145"/>
      <c r="C30" s="1145"/>
      <c r="D30" s="1146"/>
      <c r="E30" s="1001" t="s">
        <v>1327</v>
      </c>
      <c r="F30" s="1004">
        <f>SUM(F31:F32)</f>
        <v>1243236</v>
      </c>
      <c r="G30" s="1004">
        <f>SUM(G31:G32)</f>
        <v>1012174</v>
      </c>
      <c r="H30" s="1003"/>
    </row>
    <row r="31" spans="1:8" ht="12.75">
      <c r="A31" s="1144" t="s">
        <v>475</v>
      </c>
      <c r="B31" s="1145"/>
      <c r="C31" s="1145"/>
      <c r="D31" s="1146"/>
      <c r="E31" s="1001" t="s">
        <v>1329</v>
      </c>
      <c r="F31" s="1004">
        <v>1243236</v>
      </c>
      <c r="G31" s="1004">
        <v>1012174</v>
      </c>
      <c r="H31" s="1003"/>
    </row>
    <row r="32" spans="1:8" ht="12.75">
      <c r="A32" s="1144" t="s">
        <v>476</v>
      </c>
      <c r="B32" s="1145"/>
      <c r="C32" s="1145"/>
      <c r="D32" s="1146"/>
      <c r="E32" s="1001" t="s">
        <v>1331</v>
      </c>
      <c r="F32" s="1004"/>
      <c r="G32" s="1004"/>
      <c r="H32" s="1003"/>
    </row>
    <row r="33" spans="1:8" ht="12.75">
      <c r="A33" s="1144" t="s">
        <v>477</v>
      </c>
      <c r="B33" s="1145"/>
      <c r="C33" s="1145"/>
      <c r="D33" s="1146"/>
      <c r="E33" s="1001" t="s">
        <v>1333</v>
      </c>
      <c r="F33" s="1004"/>
      <c r="G33" s="1004"/>
      <c r="H33" s="1003"/>
    </row>
    <row r="34" spans="1:8" ht="12.75">
      <c r="A34" s="1144" t="s">
        <v>478</v>
      </c>
      <c r="B34" s="1145"/>
      <c r="C34" s="1145"/>
      <c r="D34" s="1146"/>
      <c r="E34" s="1001" t="s">
        <v>1335</v>
      </c>
      <c r="F34" s="1004"/>
      <c r="G34" s="1004"/>
      <c r="H34" s="1003"/>
    </row>
    <row r="35" spans="1:8" ht="12.75">
      <c r="A35" s="1144" t="s">
        <v>479</v>
      </c>
      <c r="B35" s="1145"/>
      <c r="C35" s="1145"/>
      <c r="D35" s="1146"/>
      <c r="E35" s="1001" t="s">
        <v>1337</v>
      </c>
      <c r="F35" s="1004"/>
      <c r="G35" s="1004"/>
      <c r="H35" s="1003"/>
    </row>
    <row r="36" spans="1:8" ht="12.75">
      <c r="A36" s="1144" t="s">
        <v>480</v>
      </c>
      <c r="B36" s="1145"/>
      <c r="C36" s="1145"/>
      <c r="D36" s="1146"/>
      <c r="E36" s="1001" t="s">
        <v>1339</v>
      </c>
      <c r="F36" s="1004">
        <f>SUM(F37:F38)</f>
        <v>56782</v>
      </c>
      <c r="G36" s="1004">
        <f>SUM(G37:G38)</f>
        <v>50517</v>
      </c>
      <c r="H36" s="1003"/>
    </row>
    <row r="37" spans="1:8" ht="12.75">
      <c r="A37" s="1144" t="s">
        <v>481</v>
      </c>
      <c r="B37" s="1145"/>
      <c r="C37" s="1145"/>
      <c r="D37" s="1146"/>
      <c r="E37" s="1001" t="s">
        <v>1340</v>
      </c>
      <c r="F37" s="1004">
        <v>56782</v>
      </c>
      <c r="G37" s="1004">
        <v>50517</v>
      </c>
      <c r="H37" s="1003"/>
    </row>
    <row r="38" spans="1:8" ht="12.75">
      <c r="A38" s="1144" t="s">
        <v>482</v>
      </c>
      <c r="B38" s="1145"/>
      <c r="C38" s="1145"/>
      <c r="D38" s="1146"/>
      <c r="E38" s="1001" t="s">
        <v>1341</v>
      </c>
      <c r="F38" s="1004"/>
      <c r="G38" s="1004"/>
      <c r="H38" s="1003"/>
    </row>
    <row r="39" spans="1:8" ht="12.75">
      <c r="A39" s="1144" t="s">
        <v>483</v>
      </c>
      <c r="B39" s="1176"/>
      <c r="C39" s="1176"/>
      <c r="D39" s="1177"/>
      <c r="E39" s="1001" t="s">
        <v>1343</v>
      </c>
      <c r="F39" s="1004"/>
      <c r="G39" s="1004"/>
      <c r="H39" s="1003"/>
    </row>
    <row r="40" spans="1:8" ht="12.75">
      <c r="A40" s="1144" t="s">
        <v>484</v>
      </c>
      <c r="B40" s="1145"/>
      <c r="C40" s="1145"/>
      <c r="D40" s="1146"/>
      <c r="E40" s="1001" t="s">
        <v>1345</v>
      </c>
      <c r="F40" s="1004"/>
      <c r="G40" s="1004"/>
      <c r="H40" s="1003"/>
    </row>
    <row r="41" spans="1:8" ht="12.75">
      <c r="A41" s="1144" t="s">
        <v>485</v>
      </c>
      <c r="B41" s="1145"/>
      <c r="C41" s="1145"/>
      <c r="D41" s="1146"/>
      <c r="E41" s="1001" t="s">
        <v>1347</v>
      </c>
      <c r="F41" s="1004"/>
      <c r="G41" s="1004"/>
      <c r="H41" s="1003"/>
    </row>
    <row r="42" spans="1:8" ht="12.75">
      <c r="A42" s="1144" t="s">
        <v>486</v>
      </c>
      <c r="B42" s="1145"/>
      <c r="C42" s="1145"/>
      <c r="D42" s="1146"/>
      <c r="E42" s="1001" t="s">
        <v>1349</v>
      </c>
      <c r="F42" s="1004">
        <f>SUM(F43:F44)</f>
        <v>5165</v>
      </c>
      <c r="G42" s="1004">
        <f>SUM(G43:G44)</f>
        <v>4877</v>
      </c>
      <c r="H42" s="1003"/>
    </row>
    <row r="43" spans="1:8" ht="12.75">
      <c r="A43" s="1144" t="s">
        <v>487</v>
      </c>
      <c r="B43" s="1145"/>
      <c r="C43" s="1145"/>
      <c r="D43" s="1146"/>
      <c r="E43" s="1001" t="s">
        <v>1351</v>
      </c>
      <c r="F43" s="1004">
        <v>5165</v>
      </c>
      <c r="G43" s="1004">
        <v>4877</v>
      </c>
      <c r="H43" s="1003"/>
    </row>
    <row r="44" spans="1:8" ht="12.75">
      <c r="A44" s="1144" t="s">
        <v>488</v>
      </c>
      <c r="B44" s="1145"/>
      <c r="C44" s="1145"/>
      <c r="D44" s="1146"/>
      <c r="E44" s="1001" t="s">
        <v>1353</v>
      </c>
      <c r="F44" s="1004"/>
      <c r="G44" s="1004"/>
      <c r="H44" s="1003"/>
    </row>
    <row r="45" spans="1:8" ht="12.75">
      <c r="A45" s="1144" t="s">
        <v>489</v>
      </c>
      <c r="B45" s="1145"/>
      <c r="C45" s="1145"/>
      <c r="D45" s="1146"/>
      <c r="E45" s="1001" t="s">
        <v>1355</v>
      </c>
      <c r="F45" s="1004">
        <f>SUM(F46:F47)</f>
        <v>319522</v>
      </c>
      <c r="G45" s="1004">
        <f>SUM(G46:G47)</f>
        <v>317869</v>
      </c>
      <c r="H45" s="1003"/>
    </row>
    <row r="46" spans="1:8" ht="12.75">
      <c r="A46" s="1144" t="s">
        <v>490</v>
      </c>
      <c r="B46" s="1145"/>
      <c r="C46" s="1145"/>
      <c r="D46" s="1146"/>
      <c r="E46" s="1001" t="s">
        <v>1357</v>
      </c>
      <c r="F46" s="1004">
        <v>319522</v>
      </c>
      <c r="G46" s="1004">
        <v>317869</v>
      </c>
      <c r="H46" s="1003"/>
    </row>
    <row r="47" spans="1:8" ht="12.75">
      <c r="A47" s="1144" t="s">
        <v>491</v>
      </c>
      <c r="B47" s="1145"/>
      <c r="C47" s="1145"/>
      <c r="D47" s="1146"/>
      <c r="E47" s="1001" t="s">
        <v>1359</v>
      </c>
      <c r="F47" s="1004"/>
      <c r="G47" s="1004"/>
      <c r="H47" s="1003"/>
    </row>
    <row r="48" spans="1:8" ht="12.75">
      <c r="A48" s="1144" t="s">
        <v>492</v>
      </c>
      <c r="B48" s="1145"/>
      <c r="C48" s="1145"/>
      <c r="D48" s="1146"/>
      <c r="E48" s="1001" t="s">
        <v>1361</v>
      </c>
      <c r="F48" s="1004"/>
      <c r="G48" s="1004"/>
      <c r="H48" s="1003"/>
    </row>
    <row r="49" spans="1:8" ht="14.25">
      <c r="A49" s="1164" t="s">
        <v>493</v>
      </c>
      <c r="B49" s="1165"/>
      <c r="C49" s="1165"/>
      <c r="D49" s="1166"/>
      <c r="E49" s="1008" t="s">
        <v>139</v>
      </c>
      <c r="F49" s="1009">
        <f>SUM(F50,F53,F56,F59,F62,F65,F77,F80,F83,F86,F89,F92)</f>
        <v>2083118</v>
      </c>
      <c r="G49" s="1009">
        <f>SUM(G50,G53,G56,G59,G62,G65,G77,G80,G83,G86,G89,G92)</f>
        <v>1756149</v>
      </c>
      <c r="H49" s="1011"/>
    </row>
    <row r="50" spans="1:8" ht="12.75">
      <c r="A50" s="1144" t="s">
        <v>494</v>
      </c>
      <c r="B50" s="1145"/>
      <c r="C50" s="1145"/>
      <c r="D50" s="1146"/>
      <c r="E50" s="1001" t="s">
        <v>353</v>
      </c>
      <c r="F50" s="1004">
        <f>SUM(F51:F52)</f>
        <v>56788</v>
      </c>
      <c r="G50" s="1004">
        <f>SUM(G51:G52)</f>
        <v>48295</v>
      </c>
      <c r="H50" s="1003"/>
    </row>
    <row r="51" spans="1:8" ht="12.75">
      <c r="A51" s="1144" t="s">
        <v>495</v>
      </c>
      <c r="B51" s="1145"/>
      <c r="C51" s="1145"/>
      <c r="D51" s="1146"/>
      <c r="E51" s="1001" t="s">
        <v>355</v>
      </c>
      <c r="F51" s="1004">
        <v>56788</v>
      </c>
      <c r="G51" s="1004">
        <v>48295</v>
      </c>
      <c r="H51" s="1003"/>
    </row>
    <row r="52" spans="1:8" ht="12.75">
      <c r="A52" s="1144" t="s">
        <v>496</v>
      </c>
      <c r="B52" s="1145"/>
      <c r="C52" s="1145"/>
      <c r="D52" s="1146"/>
      <c r="E52" s="1001" t="s">
        <v>357</v>
      </c>
      <c r="F52" s="1004"/>
      <c r="G52" s="1004"/>
      <c r="H52" s="1003"/>
    </row>
    <row r="53" spans="1:8" ht="12.75">
      <c r="A53" s="1144" t="s">
        <v>497</v>
      </c>
      <c r="B53" s="1145"/>
      <c r="C53" s="1145"/>
      <c r="D53" s="1146"/>
      <c r="E53" s="1001" t="s">
        <v>359</v>
      </c>
      <c r="F53" s="1004">
        <f>SUM(F54:F55)</f>
        <v>728121</v>
      </c>
      <c r="G53" s="1004">
        <f>SUM(G54:G55)</f>
        <v>671461</v>
      </c>
      <c r="H53" s="1003"/>
    </row>
    <row r="54" spans="1:8" ht="12.75">
      <c r="A54" s="1144" t="s">
        <v>498</v>
      </c>
      <c r="B54" s="1145"/>
      <c r="C54" s="1145"/>
      <c r="D54" s="1146"/>
      <c r="E54" s="1001" t="s">
        <v>361</v>
      </c>
      <c r="F54" s="1004">
        <v>728121</v>
      </c>
      <c r="G54" s="1004">
        <v>671461</v>
      </c>
      <c r="H54" s="1003"/>
    </row>
    <row r="55" spans="1:8" ht="14.25">
      <c r="A55" s="1181" t="s">
        <v>499</v>
      </c>
      <c r="B55" s="1182"/>
      <c r="C55" s="1182"/>
      <c r="D55" s="1183"/>
      <c r="E55" s="1012" t="s">
        <v>363</v>
      </c>
      <c r="F55" s="1013"/>
      <c r="G55" s="1013"/>
      <c r="H55" s="1014"/>
    </row>
    <row r="56" spans="1:8" ht="14.25">
      <c r="A56" s="1082" t="s">
        <v>500</v>
      </c>
      <c r="B56" s="1083"/>
      <c r="C56" s="1083"/>
      <c r="D56" s="1084"/>
      <c r="E56" s="1001" t="s">
        <v>364</v>
      </c>
      <c r="F56" s="1004"/>
      <c r="G56" s="1004"/>
      <c r="H56" s="1003"/>
    </row>
    <row r="57" spans="1:8" ht="12.75">
      <c r="A57" s="1144" t="s">
        <v>501</v>
      </c>
      <c r="B57" s="1145"/>
      <c r="C57" s="1145"/>
      <c r="D57" s="1146"/>
      <c r="E57" s="1001" t="s">
        <v>366</v>
      </c>
      <c r="F57" s="1004"/>
      <c r="G57" s="1004"/>
      <c r="H57" s="1003"/>
    </row>
    <row r="58" spans="1:8" ht="12.75">
      <c r="A58" s="1144" t="s">
        <v>502</v>
      </c>
      <c r="B58" s="1145"/>
      <c r="C58" s="1145"/>
      <c r="D58" s="1146"/>
      <c r="E58" s="1001" t="s">
        <v>368</v>
      </c>
      <c r="F58" s="1004"/>
      <c r="G58" s="1004"/>
      <c r="H58" s="1003"/>
    </row>
    <row r="59" spans="1:8" ht="12.75">
      <c r="A59" s="1144" t="s">
        <v>503</v>
      </c>
      <c r="B59" s="1145"/>
      <c r="C59" s="1145"/>
      <c r="D59" s="1146"/>
      <c r="E59" s="1001" t="s">
        <v>371</v>
      </c>
      <c r="F59" s="1004"/>
      <c r="G59" s="1004"/>
      <c r="H59" s="1003"/>
    </row>
    <row r="60" spans="1:8" ht="12.75">
      <c r="A60" s="1144" t="s">
        <v>504</v>
      </c>
      <c r="B60" s="1145"/>
      <c r="C60" s="1145"/>
      <c r="D60" s="1146"/>
      <c r="E60" s="1001" t="s">
        <v>373</v>
      </c>
      <c r="F60" s="1004"/>
      <c r="G60" s="1004"/>
      <c r="H60" s="1003"/>
    </row>
    <row r="61" spans="1:8" ht="12.75">
      <c r="A61" s="1144" t="s">
        <v>505</v>
      </c>
      <c r="B61" s="1145"/>
      <c r="C61" s="1145"/>
      <c r="D61" s="1146"/>
      <c r="E61" s="1001" t="s">
        <v>376</v>
      </c>
      <c r="F61" s="1004"/>
      <c r="G61" s="1004"/>
      <c r="H61" s="1003"/>
    </row>
    <row r="62" spans="1:8" ht="12.75">
      <c r="A62" s="1144" t="s">
        <v>506</v>
      </c>
      <c r="B62" s="1145"/>
      <c r="C62" s="1145"/>
      <c r="D62" s="1146"/>
      <c r="E62" s="1001" t="s">
        <v>507</v>
      </c>
      <c r="F62" s="1004">
        <f>SUM(F63:F64)</f>
        <v>828269</v>
      </c>
      <c r="G62" s="1004">
        <f>SUM(G63:G64)</f>
        <v>642014</v>
      </c>
      <c r="H62" s="1003"/>
    </row>
    <row r="63" spans="1:8" ht="14.25">
      <c r="A63" s="1082" t="s">
        <v>508</v>
      </c>
      <c r="B63" s="1083"/>
      <c r="C63" s="1083"/>
      <c r="D63" s="1084"/>
      <c r="E63" s="1001" t="s">
        <v>509</v>
      </c>
      <c r="F63" s="1004">
        <f>124267+703859</f>
        <v>828126</v>
      </c>
      <c r="G63" s="1004">
        <f>95340+546674</f>
        <v>642014</v>
      </c>
      <c r="H63" s="1003"/>
    </row>
    <row r="64" spans="1:8" ht="12.75">
      <c r="A64" s="1144" t="s">
        <v>510</v>
      </c>
      <c r="B64" s="1145"/>
      <c r="C64" s="1145"/>
      <c r="D64" s="1146"/>
      <c r="E64" s="1001" t="s">
        <v>511</v>
      </c>
      <c r="F64" s="1004">
        <v>143</v>
      </c>
      <c r="G64" s="1004"/>
      <c r="H64" s="1003"/>
    </row>
    <row r="65" spans="1:8" ht="12.75">
      <c r="A65" s="1144" t="s">
        <v>512</v>
      </c>
      <c r="B65" s="1145"/>
      <c r="C65" s="1145"/>
      <c r="D65" s="1146"/>
      <c r="E65" s="1001" t="s">
        <v>513</v>
      </c>
      <c r="F65" s="1004">
        <f>SUM(F66:F67)</f>
        <v>9163</v>
      </c>
      <c r="G65" s="1004">
        <f>SUM(G66:G67)</f>
        <v>9118</v>
      </c>
      <c r="H65" s="1003"/>
    </row>
    <row r="66" spans="1:8" ht="14.25">
      <c r="A66" s="1082" t="s">
        <v>514</v>
      </c>
      <c r="B66" s="1083"/>
      <c r="C66" s="1083"/>
      <c r="D66" s="1084"/>
      <c r="E66" s="1001" t="s">
        <v>515</v>
      </c>
      <c r="F66" s="1004">
        <v>9163</v>
      </c>
      <c r="G66" s="1004">
        <v>9118</v>
      </c>
      <c r="H66" s="1003"/>
    </row>
    <row r="67" spans="1:8" ht="15" thickBot="1">
      <c r="A67" s="1178" t="s">
        <v>516</v>
      </c>
      <c r="B67" s="1179"/>
      <c r="C67" s="1179"/>
      <c r="D67" s="1180"/>
      <c r="E67" s="995" t="s">
        <v>517</v>
      </c>
      <c r="F67" s="1015"/>
      <c r="G67" s="1015"/>
      <c r="H67" s="1016"/>
    </row>
    <row r="68" spans="1:8" ht="12.75">
      <c r="A68" s="985"/>
      <c r="B68" s="985"/>
      <c r="C68" s="985"/>
      <c r="D68" s="985"/>
      <c r="E68" s="985"/>
      <c r="F68" s="985"/>
      <c r="G68" s="985"/>
      <c r="H68" s="987"/>
    </row>
    <row r="69" spans="1:8" ht="12.75">
      <c r="A69" s="985"/>
      <c r="B69" s="985"/>
      <c r="C69" s="985"/>
      <c r="D69" s="985"/>
      <c r="E69" s="985"/>
      <c r="F69" s="985"/>
      <c r="G69" s="985"/>
      <c r="H69" s="987"/>
    </row>
    <row r="70" spans="1:8" ht="12.75">
      <c r="A70" s="985"/>
      <c r="B70" s="985"/>
      <c r="C70" s="985"/>
      <c r="D70" s="985"/>
      <c r="E70" s="985"/>
      <c r="F70" s="985"/>
      <c r="G70" s="985"/>
      <c r="H70" s="987"/>
    </row>
    <row r="71" spans="1:8" ht="12.75">
      <c r="A71" s="985"/>
      <c r="B71" s="985"/>
      <c r="C71" s="985"/>
      <c r="D71" s="985"/>
      <c r="E71" s="985"/>
      <c r="F71" s="985"/>
      <c r="G71" s="985"/>
      <c r="H71" s="987" t="s">
        <v>1448</v>
      </c>
    </row>
    <row r="72" spans="1:8" ht="12.75">
      <c r="A72" s="985"/>
      <c r="B72" s="985"/>
      <c r="C72" s="985"/>
      <c r="D72" s="985"/>
      <c r="E72" s="985"/>
      <c r="F72" s="985"/>
      <c r="G72" s="985"/>
      <c r="H72" s="985"/>
    </row>
    <row r="73" spans="1:8" ht="13.5" thickBot="1">
      <c r="A73" s="985"/>
      <c r="B73" s="985"/>
      <c r="C73" s="985"/>
      <c r="D73" s="985"/>
      <c r="E73" s="985"/>
      <c r="F73" s="985"/>
      <c r="G73" s="985"/>
      <c r="H73" s="987" t="s">
        <v>1305</v>
      </c>
    </row>
    <row r="74" spans="1:8" ht="14.25" customHeight="1">
      <c r="A74" s="1097" t="s">
        <v>441</v>
      </c>
      <c r="B74" s="1098"/>
      <c r="C74" s="1098"/>
      <c r="D74" s="1099"/>
      <c r="E74" s="1103" t="s">
        <v>442</v>
      </c>
      <c r="F74" s="988" t="s">
        <v>443</v>
      </c>
      <c r="G74" s="988" t="s">
        <v>444</v>
      </c>
      <c r="H74" s="989" t="s">
        <v>445</v>
      </c>
    </row>
    <row r="75" spans="1:8" ht="14.25" customHeight="1">
      <c r="A75" s="1100"/>
      <c r="B75" s="1101"/>
      <c r="C75" s="1101"/>
      <c r="D75" s="1102"/>
      <c r="E75" s="1104"/>
      <c r="F75" s="1133" t="s">
        <v>446</v>
      </c>
      <c r="G75" s="1133"/>
      <c r="H75" s="1134"/>
    </row>
    <row r="76" spans="1:8" ht="13.5" thickBot="1">
      <c r="A76" s="1111">
        <v>1</v>
      </c>
      <c r="B76" s="1112"/>
      <c r="C76" s="1112"/>
      <c r="D76" s="1112"/>
      <c r="E76" s="995">
        <v>2</v>
      </c>
      <c r="F76" s="995">
        <v>3</v>
      </c>
      <c r="G76" s="995">
        <v>4</v>
      </c>
      <c r="H76" s="996">
        <v>5</v>
      </c>
    </row>
    <row r="77" spans="1:8" ht="14.25">
      <c r="A77" s="1082" t="s">
        <v>518</v>
      </c>
      <c r="B77" s="1083"/>
      <c r="C77" s="1083"/>
      <c r="D77" s="1084"/>
      <c r="E77" s="1001" t="s">
        <v>519</v>
      </c>
      <c r="F77" s="1004"/>
      <c r="G77" s="1004"/>
      <c r="H77" s="1003"/>
    </row>
    <row r="78" spans="1:8" ht="14.25">
      <c r="A78" s="1082" t="s">
        <v>520</v>
      </c>
      <c r="B78" s="1083"/>
      <c r="C78" s="1083"/>
      <c r="D78" s="1084"/>
      <c r="E78" s="1001" t="s">
        <v>521</v>
      </c>
      <c r="F78" s="1004"/>
      <c r="G78" s="1004"/>
      <c r="H78" s="1003"/>
    </row>
    <row r="79" spans="1:8" ht="14.25">
      <c r="A79" s="1082" t="s">
        <v>522</v>
      </c>
      <c r="B79" s="1083"/>
      <c r="C79" s="1083"/>
      <c r="D79" s="1084"/>
      <c r="E79" s="1001" t="s">
        <v>523</v>
      </c>
      <c r="F79" s="1004"/>
      <c r="G79" s="1004"/>
      <c r="H79" s="1003"/>
    </row>
    <row r="80" spans="1:8" ht="14.25">
      <c r="A80" s="1082" t="s">
        <v>524</v>
      </c>
      <c r="B80" s="1083"/>
      <c r="C80" s="1083"/>
      <c r="D80" s="1084"/>
      <c r="E80" s="1001" t="s">
        <v>525</v>
      </c>
      <c r="F80" s="1004">
        <f>SUM(F81:F82)</f>
        <v>222377</v>
      </c>
      <c r="G80" s="1004">
        <f>SUM(G81:G82)</f>
        <v>172237</v>
      </c>
      <c r="H80" s="1003"/>
    </row>
    <row r="81" spans="1:8" ht="14.25">
      <c r="A81" s="1141" t="s">
        <v>526</v>
      </c>
      <c r="B81" s="1142"/>
      <c r="C81" s="1142"/>
      <c r="D81" s="1143"/>
      <c r="E81" s="1008" t="s">
        <v>527</v>
      </c>
      <c r="F81" s="1004">
        <v>222377</v>
      </c>
      <c r="G81" s="1004">
        <v>172237</v>
      </c>
      <c r="H81" s="1003"/>
    </row>
    <row r="82" spans="1:8" ht="12.75">
      <c r="A82" s="1144" t="s">
        <v>528</v>
      </c>
      <c r="B82" s="1145"/>
      <c r="C82" s="1145"/>
      <c r="D82" s="1146"/>
      <c r="E82" s="1001" t="s">
        <v>529</v>
      </c>
      <c r="F82" s="1004"/>
      <c r="G82" s="1004"/>
      <c r="H82" s="1003"/>
    </row>
    <row r="83" spans="1:8" ht="12.75">
      <c r="A83" s="1144" t="s">
        <v>530</v>
      </c>
      <c r="B83" s="1145"/>
      <c r="C83" s="1145"/>
      <c r="D83" s="1146"/>
      <c r="E83" s="1001" t="s">
        <v>531</v>
      </c>
      <c r="F83" s="1004"/>
      <c r="G83" s="1004"/>
      <c r="H83" s="1003"/>
    </row>
    <row r="84" spans="1:8" ht="12.75">
      <c r="A84" s="1144" t="s">
        <v>532</v>
      </c>
      <c r="B84" s="1145"/>
      <c r="C84" s="1145"/>
      <c r="D84" s="1146"/>
      <c r="E84" s="1001" t="s">
        <v>533</v>
      </c>
      <c r="F84" s="1004"/>
      <c r="G84" s="1004"/>
      <c r="H84" s="1003"/>
    </row>
    <row r="85" spans="1:8" ht="12.75">
      <c r="A85" s="1144" t="s">
        <v>534</v>
      </c>
      <c r="B85" s="1145"/>
      <c r="C85" s="1145"/>
      <c r="D85" s="1146"/>
      <c r="E85" s="1001" t="s">
        <v>535</v>
      </c>
      <c r="F85" s="1004"/>
      <c r="G85" s="1004"/>
      <c r="H85" s="1003"/>
    </row>
    <row r="86" spans="1:8" ht="12.75">
      <c r="A86" s="1144" t="s">
        <v>536</v>
      </c>
      <c r="B86" s="1145"/>
      <c r="C86" s="1145"/>
      <c r="D86" s="1146"/>
      <c r="E86" s="1001" t="s">
        <v>537</v>
      </c>
      <c r="F86" s="1004"/>
      <c r="G86" s="1004"/>
      <c r="H86" s="1003"/>
    </row>
    <row r="87" spans="1:8" ht="12.75">
      <c r="A87" s="1144" t="s">
        <v>538</v>
      </c>
      <c r="B87" s="1145"/>
      <c r="C87" s="1145"/>
      <c r="D87" s="1146"/>
      <c r="E87" s="1001" t="s">
        <v>539</v>
      </c>
      <c r="F87" s="1004"/>
      <c r="G87" s="1004"/>
      <c r="H87" s="1003"/>
    </row>
    <row r="88" spans="1:8" ht="12.75">
      <c r="A88" s="1144" t="s">
        <v>540</v>
      </c>
      <c r="B88" s="1145"/>
      <c r="C88" s="1145"/>
      <c r="D88" s="1146"/>
      <c r="E88" s="1001" t="s">
        <v>541</v>
      </c>
      <c r="F88" s="1004"/>
      <c r="G88" s="1004"/>
      <c r="H88" s="1003"/>
    </row>
    <row r="89" spans="1:8" ht="12.75">
      <c r="A89" s="1144" t="s">
        <v>542</v>
      </c>
      <c r="B89" s="1145"/>
      <c r="C89" s="1145"/>
      <c r="D89" s="1146"/>
      <c r="E89" s="1001" t="s">
        <v>543</v>
      </c>
      <c r="F89" s="1004">
        <f>SUM(F90:F91)</f>
        <v>238400</v>
      </c>
      <c r="G89" s="1004">
        <f>SUM(G90:G91)</f>
        <v>213024</v>
      </c>
      <c r="H89" s="1003"/>
    </row>
    <row r="90" spans="1:8" ht="12.75">
      <c r="A90" s="1144" t="s">
        <v>544</v>
      </c>
      <c r="B90" s="1145"/>
      <c r="C90" s="1145"/>
      <c r="D90" s="1146"/>
      <c r="E90" s="1001" t="s">
        <v>545</v>
      </c>
      <c r="F90" s="1004">
        <v>237935</v>
      </c>
      <c r="G90" s="1004">
        <v>213024</v>
      </c>
      <c r="H90" s="1003"/>
    </row>
    <row r="91" spans="1:8" ht="12.75">
      <c r="A91" s="1144" t="s">
        <v>546</v>
      </c>
      <c r="B91" s="1176"/>
      <c r="C91" s="1176"/>
      <c r="D91" s="1177"/>
      <c r="E91" s="1001" t="s">
        <v>547</v>
      </c>
      <c r="F91" s="1004">
        <v>465</v>
      </c>
      <c r="G91" s="1004"/>
      <c r="H91" s="1003"/>
    </row>
    <row r="92" spans="1:8" ht="14.25">
      <c r="A92" s="1144" t="s">
        <v>548</v>
      </c>
      <c r="B92" s="1145"/>
      <c r="C92" s="1145"/>
      <c r="D92" s="1146"/>
      <c r="E92" s="1001" t="s">
        <v>549</v>
      </c>
      <c r="F92" s="1017"/>
      <c r="G92" s="1004"/>
      <c r="H92" s="1003"/>
    </row>
    <row r="93" spans="1:8" ht="15">
      <c r="A93" s="1119" t="s">
        <v>550</v>
      </c>
      <c r="B93" s="1120"/>
      <c r="C93" s="1120"/>
      <c r="D93" s="1121"/>
      <c r="E93" s="1001" t="s">
        <v>551</v>
      </c>
      <c r="F93" s="1002">
        <f>SUM(F94,F97,F100,F103)</f>
        <v>1537990</v>
      </c>
      <c r="G93" s="1002">
        <f>SUM(G94,G97,G100,G103)</f>
        <v>1342564</v>
      </c>
      <c r="H93" s="1003"/>
    </row>
    <row r="94" spans="1:8" ht="12.75">
      <c r="A94" s="1144" t="s">
        <v>552</v>
      </c>
      <c r="B94" s="1145"/>
      <c r="C94" s="1145"/>
      <c r="D94" s="1146"/>
      <c r="E94" s="1001" t="s">
        <v>553</v>
      </c>
      <c r="F94" s="1004">
        <f>SUM(F95:F96)</f>
        <v>633580</v>
      </c>
      <c r="G94" s="1004">
        <f>SUM(G95:G96)</f>
        <v>633580</v>
      </c>
      <c r="H94" s="1003"/>
    </row>
    <row r="95" spans="1:8" ht="12.75">
      <c r="A95" s="1144" t="s">
        <v>554</v>
      </c>
      <c r="B95" s="1145"/>
      <c r="C95" s="1145"/>
      <c r="D95" s="1146"/>
      <c r="E95" s="1001" t="s">
        <v>555</v>
      </c>
      <c r="F95" s="1004">
        <f>588072+45508</f>
        <v>633580</v>
      </c>
      <c r="G95" s="1004">
        <f>588072+45508</f>
        <v>633580</v>
      </c>
      <c r="H95" s="1003"/>
    </row>
    <row r="96" spans="1:8" ht="12.75">
      <c r="A96" s="1144" t="s">
        <v>556</v>
      </c>
      <c r="B96" s="1145"/>
      <c r="C96" s="1145"/>
      <c r="D96" s="1146"/>
      <c r="E96" s="1001" t="s">
        <v>557</v>
      </c>
      <c r="F96" s="1004"/>
      <c r="G96" s="1004"/>
      <c r="H96" s="1003"/>
    </row>
    <row r="97" spans="1:8" ht="12.75">
      <c r="A97" s="1144" t="s">
        <v>558</v>
      </c>
      <c r="B97" s="1145"/>
      <c r="C97" s="1145"/>
      <c r="D97" s="1146"/>
      <c r="E97" s="1001" t="s">
        <v>559</v>
      </c>
      <c r="F97" s="1004">
        <f>SUM(F98:F99)</f>
        <v>833924</v>
      </c>
      <c r="G97" s="1004">
        <f>SUM(G98:G99)</f>
        <v>664489</v>
      </c>
      <c r="H97" s="1003"/>
    </row>
    <row r="98" spans="1:8" ht="12.75">
      <c r="A98" s="1144" t="s">
        <v>560</v>
      </c>
      <c r="B98" s="1145"/>
      <c r="C98" s="1145"/>
      <c r="D98" s="1146"/>
      <c r="E98" s="1001" t="s">
        <v>561</v>
      </c>
      <c r="F98" s="1004">
        <f>305808+525159</f>
        <v>830967</v>
      </c>
      <c r="G98" s="1004">
        <f>249382+415107</f>
        <v>664489</v>
      </c>
      <c r="H98" s="1003"/>
    </row>
    <row r="99" spans="1:8" ht="12.75">
      <c r="A99" s="1144" t="s">
        <v>562</v>
      </c>
      <c r="B99" s="1145"/>
      <c r="C99" s="1145"/>
      <c r="D99" s="1146"/>
      <c r="E99" s="1001" t="s">
        <v>563</v>
      </c>
      <c r="F99" s="1004">
        <v>2957</v>
      </c>
      <c r="G99" s="1004"/>
      <c r="H99" s="1003"/>
    </row>
    <row r="100" spans="1:8" ht="12.75">
      <c r="A100" s="1144" t="s">
        <v>564</v>
      </c>
      <c r="B100" s="1145"/>
      <c r="C100" s="1145"/>
      <c r="D100" s="1146"/>
      <c r="E100" s="1001" t="s">
        <v>565</v>
      </c>
      <c r="F100" s="1004">
        <f>SUM(F101:F102)</f>
        <v>70486</v>
      </c>
      <c r="G100" s="1004">
        <f>SUM(G101:G102)</f>
        <v>44495</v>
      </c>
      <c r="H100" s="1003"/>
    </row>
    <row r="101" spans="1:8" ht="14.25">
      <c r="A101" s="1141" t="s">
        <v>566</v>
      </c>
      <c r="B101" s="1142"/>
      <c r="C101" s="1142"/>
      <c r="D101" s="1143"/>
      <c r="E101" s="1008" t="s">
        <v>567</v>
      </c>
      <c r="F101" s="1004">
        <f>64804+3801</f>
        <v>68605</v>
      </c>
      <c r="G101" s="1004">
        <f>43088+1407</f>
        <v>44495</v>
      </c>
      <c r="H101" s="1003"/>
    </row>
    <row r="102" spans="1:8" ht="12.75">
      <c r="A102" s="1144" t="s">
        <v>568</v>
      </c>
      <c r="B102" s="1145"/>
      <c r="C102" s="1145"/>
      <c r="D102" s="1146"/>
      <c r="E102" s="1001" t="s">
        <v>569</v>
      </c>
      <c r="F102" s="1004">
        <f>1202+679</f>
        <v>1881</v>
      </c>
      <c r="G102" s="1004"/>
      <c r="H102" s="1003"/>
    </row>
    <row r="103" spans="1:8" ht="12.75">
      <c r="A103" s="1144" t="s">
        <v>570</v>
      </c>
      <c r="B103" s="1145"/>
      <c r="C103" s="1145"/>
      <c r="D103" s="1146"/>
      <c r="E103" s="1001" t="s">
        <v>571</v>
      </c>
      <c r="F103" s="1004"/>
      <c r="G103" s="1004"/>
      <c r="H103" s="1003"/>
    </row>
    <row r="104" spans="1:8" ht="14.25">
      <c r="A104" s="1119" t="s">
        <v>572</v>
      </c>
      <c r="B104" s="1120"/>
      <c r="C104" s="1120"/>
      <c r="D104" s="1121"/>
      <c r="E104" s="1001" t="s">
        <v>573</v>
      </c>
      <c r="F104" s="1004"/>
      <c r="G104" s="1004"/>
      <c r="H104" s="1003"/>
    </row>
    <row r="105" spans="1:8" ht="14.25">
      <c r="A105" s="1150" t="s">
        <v>574</v>
      </c>
      <c r="B105" s="1151"/>
      <c r="C105" s="1151"/>
      <c r="D105" s="1152"/>
      <c r="E105" s="1008" t="s">
        <v>575</v>
      </c>
      <c r="F105" s="1004"/>
      <c r="G105" s="1004"/>
      <c r="H105" s="1003"/>
    </row>
    <row r="106" spans="1:8" ht="15">
      <c r="A106" s="1170" t="s">
        <v>576</v>
      </c>
      <c r="B106" s="1171"/>
      <c r="C106" s="1171"/>
      <c r="D106" s="1172"/>
      <c r="E106" s="1018" t="s">
        <v>577</v>
      </c>
      <c r="F106" s="1019">
        <f>SUM(F107,F118,F123:F125)</f>
        <v>416444</v>
      </c>
      <c r="G106" s="1020">
        <f>SUM(G107,G118,G123:G125)</f>
        <v>69914</v>
      </c>
      <c r="H106" s="1021"/>
    </row>
    <row r="107" spans="1:8" ht="15">
      <c r="A107" s="1173" t="s">
        <v>578</v>
      </c>
      <c r="B107" s="1174"/>
      <c r="C107" s="1174"/>
      <c r="D107" s="1175"/>
      <c r="E107" s="1001" t="s">
        <v>579</v>
      </c>
      <c r="F107" s="1002">
        <f>SUM(F108,F113)</f>
        <v>344187</v>
      </c>
      <c r="G107" s="1002">
        <f>SUM(G108,G113)</f>
        <v>56203</v>
      </c>
      <c r="H107" s="1003"/>
    </row>
    <row r="108" spans="1:8" ht="14.25">
      <c r="A108" s="1167" t="s">
        <v>580</v>
      </c>
      <c r="B108" s="1168"/>
      <c r="C108" s="1168"/>
      <c r="D108" s="1169"/>
      <c r="E108" s="1001" t="s">
        <v>581</v>
      </c>
      <c r="F108" s="1004"/>
      <c r="G108" s="1004"/>
      <c r="H108" s="1003"/>
    </row>
    <row r="109" spans="1:8" ht="12.75">
      <c r="A109" s="1144" t="s">
        <v>582</v>
      </c>
      <c r="B109" s="1145"/>
      <c r="C109" s="1145"/>
      <c r="D109" s="1146"/>
      <c r="E109" s="1001" t="s">
        <v>583</v>
      </c>
      <c r="F109" s="1004"/>
      <c r="G109" s="1004"/>
      <c r="H109" s="1003"/>
    </row>
    <row r="110" spans="1:8" ht="12.75">
      <c r="A110" s="1144" t="s">
        <v>584</v>
      </c>
      <c r="B110" s="1145"/>
      <c r="C110" s="1145"/>
      <c r="D110" s="1146"/>
      <c r="E110" s="1001" t="s">
        <v>585</v>
      </c>
      <c r="F110" s="1004"/>
      <c r="G110" s="1004"/>
      <c r="H110" s="1003"/>
    </row>
    <row r="111" spans="1:8" ht="12.75">
      <c r="A111" s="1144" t="s">
        <v>586</v>
      </c>
      <c r="B111" s="1145"/>
      <c r="C111" s="1145"/>
      <c r="D111" s="1146"/>
      <c r="E111" s="1001" t="s">
        <v>587</v>
      </c>
      <c r="F111" s="1004"/>
      <c r="G111" s="1004"/>
      <c r="H111" s="1003"/>
    </row>
    <row r="112" spans="1:8" ht="12.75">
      <c r="A112" s="1144" t="s">
        <v>588</v>
      </c>
      <c r="B112" s="1145"/>
      <c r="C112" s="1145"/>
      <c r="D112" s="1146"/>
      <c r="E112" s="1001" t="s">
        <v>589</v>
      </c>
      <c r="F112" s="1004"/>
      <c r="G112" s="1004"/>
      <c r="H112" s="1003"/>
    </row>
    <row r="113" spans="1:8" ht="12.75">
      <c r="A113" s="1144" t="s">
        <v>590</v>
      </c>
      <c r="B113" s="1145"/>
      <c r="C113" s="1145"/>
      <c r="D113" s="1146"/>
      <c r="E113" s="1001" t="s">
        <v>591</v>
      </c>
      <c r="F113" s="1004">
        <f>SUM(F114,F117)</f>
        <v>344187</v>
      </c>
      <c r="G113" s="1004">
        <f>SUM(G114,G117)</f>
        <v>56203</v>
      </c>
      <c r="H113" s="1003"/>
    </row>
    <row r="114" spans="1:8" ht="12.75">
      <c r="A114" s="1144" t="s">
        <v>592</v>
      </c>
      <c r="B114" s="1145"/>
      <c r="C114" s="1145"/>
      <c r="D114" s="1146"/>
      <c r="E114" s="1001" t="s">
        <v>593</v>
      </c>
      <c r="F114" s="1004">
        <f>SUM(F115:F116)</f>
        <v>344187</v>
      </c>
      <c r="G114" s="1004">
        <f>SUM(G115:G116)</f>
        <v>56203</v>
      </c>
      <c r="H114" s="1003"/>
    </row>
    <row r="115" spans="1:8" ht="14.25">
      <c r="A115" s="1141" t="s">
        <v>594</v>
      </c>
      <c r="B115" s="1142"/>
      <c r="C115" s="1142"/>
      <c r="D115" s="1143"/>
      <c r="E115" s="1008" t="s">
        <v>595</v>
      </c>
      <c r="F115" s="1004">
        <f>27672+17759+75510</f>
        <v>120941</v>
      </c>
      <c r="G115" s="1004">
        <f>23308+3400+29495</f>
        <v>56203</v>
      </c>
      <c r="H115" s="1003"/>
    </row>
    <row r="116" spans="1:8" ht="12.75">
      <c r="A116" s="1144" t="s">
        <v>596</v>
      </c>
      <c r="B116" s="1145"/>
      <c r="C116" s="1145"/>
      <c r="D116" s="1146"/>
      <c r="E116" s="1001" t="s">
        <v>597</v>
      </c>
      <c r="F116" s="1004">
        <f>41963+26937+154346</f>
        <v>223246</v>
      </c>
      <c r="G116" s="1004"/>
      <c r="H116" s="1003"/>
    </row>
    <row r="117" spans="1:8" ht="12.75">
      <c r="A117" s="1144" t="s">
        <v>598</v>
      </c>
      <c r="B117" s="1145"/>
      <c r="C117" s="1145"/>
      <c r="D117" s="1146"/>
      <c r="E117" s="1001" t="s">
        <v>599</v>
      </c>
      <c r="F117" s="1004"/>
      <c r="G117" s="1004"/>
      <c r="H117" s="1003"/>
    </row>
    <row r="118" spans="1:8" ht="15">
      <c r="A118" s="1119" t="s">
        <v>600</v>
      </c>
      <c r="B118" s="1120"/>
      <c r="C118" s="1120"/>
      <c r="D118" s="1121"/>
      <c r="E118" s="1001" t="s">
        <v>601</v>
      </c>
      <c r="F118" s="1002">
        <f>SUM(F119,F122)</f>
        <v>72257</v>
      </c>
      <c r="G118" s="1002">
        <f>SUM(G119,G122)</f>
        <v>13711</v>
      </c>
      <c r="H118" s="1003"/>
    </row>
    <row r="119" spans="1:8" ht="14.25">
      <c r="A119" s="1167" t="s">
        <v>602</v>
      </c>
      <c r="B119" s="1168"/>
      <c r="C119" s="1168"/>
      <c r="D119" s="1169"/>
      <c r="E119" s="1001" t="s">
        <v>603</v>
      </c>
      <c r="F119" s="1004">
        <f>SUM(F120:F121)</f>
        <v>72257</v>
      </c>
      <c r="G119" s="1004">
        <f>SUM(G120:G121)</f>
        <v>13711</v>
      </c>
      <c r="H119" s="1003"/>
    </row>
    <row r="120" spans="1:8" ht="12.75">
      <c r="A120" s="1144" t="s">
        <v>604</v>
      </c>
      <c r="B120" s="1145"/>
      <c r="C120" s="1145"/>
      <c r="D120" s="1146"/>
      <c r="E120" s="1001" t="s">
        <v>605</v>
      </c>
      <c r="F120" s="1004">
        <f>6030+36008</f>
        <v>42038</v>
      </c>
      <c r="G120" s="1004">
        <f>2002+11709</f>
        <v>13711</v>
      </c>
      <c r="H120" s="1003"/>
    </row>
    <row r="121" spans="1:8" ht="12.75">
      <c r="A121" s="1144" t="s">
        <v>606</v>
      </c>
      <c r="B121" s="1145"/>
      <c r="C121" s="1145"/>
      <c r="D121" s="1146"/>
      <c r="E121" s="1001" t="s">
        <v>607</v>
      </c>
      <c r="F121" s="1004">
        <f>3914+26305</f>
        <v>30219</v>
      </c>
      <c r="G121" s="1004"/>
      <c r="H121" s="1003"/>
    </row>
    <row r="122" spans="1:8" ht="14.25">
      <c r="A122" s="1167" t="s">
        <v>608</v>
      </c>
      <c r="B122" s="1168"/>
      <c r="C122" s="1168"/>
      <c r="D122" s="1169"/>
      <c r="E122" s="1001" t="s">
        <v>609</v>
      </c>
      <c r="F122" s="1004"/>
      <c r="G122" s="1004"/>
      <c r="H122" s="1003"/>
    </row>
    <row r="123" spans="1:8" ht="14.25">
      <c r="A123" s="1119" t="s">
        <v>610</v>
      </c>
      <c r="B123" s="1120"/>
      <c r="C123" s="1120"/>
      <c r="D123" s="1121"/>
      <c r="E123" s="1001" t="s">
        <v>611</v>
      </c>
      <c r="F123" s="1004"/>
      <c r="G123" s="1004"/>
      <c r="H123" s="1003"/>
    </row>
    <row r="124" spans="1:8" ht="14.25">
      <c r="A124" s="1119" t="s">
        <v>612</v>
      </c>
      <c r="B124" s="1120"/>
      <c r="C124" s="1120"/>
      <c r="D124" s="1121"/>
      <c r="E124" s="1001" t="s">
        <v>613</v>
      </c>
      <c r="F124" s="1004"/>
      <c r="G124" s="1004"/>
      <c r="H124" s="1003"/>
    </row>
    <row r="125" spans="1:8" ht="14.25">
      <c r="A125" s="1150" t="s">
        <v>614</v>
      </c>
      <c r="B125" s="1151"/>
      <c r="C125" s="1151"/>
      <c r="D125" s="1152"/>
      <c r="E125" s="1008" t="s">
        <v>615</v>
      </c>
      <c r="F125" s="1004"/>
      <c r="G125" s="1004"/>
      <c r="H125" s="1003"/>
    </row>
    <row r="126" spans="1:8" ht="15">
      <c r="A126" s="1161" t="s">
        <v>616</v>
      </c>
      <c r="B126" s="1162"/>
      <c r="C126" s="1162"/>
      <c r="D126" s="1163"/>
      <c r="E126" s="1001" t="s">
        <v>617</v>
      </c>
      <c r="F126" s="1022">
        <f>SUM(F127,F147,F152:F153)</f>
        <v>35748</v>
      </c>
      <c r="G126" s="1023">
        <f>SUM(G127,G147,G152:G153)</f>
        <v>5552</v>
      </c>
      <c r="H126" s="1003"/>
    </row>
    <row r="127" spans="1:8" ht="15">
      <c r="A127" s="1119" t="s">
        <v>618</v>
      </c>
      <c r="B127" s="1120"/>
      <c r="C127" s="1120"/>
      <c r="D127" s="1121"/>
      <c r="E127" s="1001" t="s">
        <v>619</v>
      </c>
      <c r="F127" s="1002">
        <f>SUM(F128,F133)</f>
        <v>13983</v>
      </c>
      <c r="G127" s="1002">
        <f>SUM(G128,G133)</f>
        <v>5275</v>
      </c>
      <c r="H127" s="1003"/>
    </row>
    <row r="128" spans="1:8" ht="14.25">
      <c r="A128" s="1167" t="s">
        <v>620</v>
      </c>
      <c r="B128" s="1168"/>
      <c r="C128" s="1168"/>
      <c r="D128" s="1169"/>
      <c r="E128" s="1001" t="s">
        <v>621</v>
      </c>
      <c r="F128" s="1004"/>
      <c r="G128" s="1004"/>
      <c r="H128" s="1003"/>
    </row>
    <row r="129" spans="1:8" ht="12.75">
      <c r="A129" s="1144" t="s">
        <v>622</v>
      </c>
      <c r="B129" s="1145"/>
      <c r="C129" s="1145"/>
      <c r="D129" s="1146"/>
      <c r="E129" s="1001" t="s">
        <v>623</v>
      </c>
      <c r="F129" s="1004"/>
      <c r="G129" s="1004"/>
      <c r="H129" s="1003"/>
    </row>
    <row r="130" spans="1:8" ht="12.75">
      <c r="A130" s="1144" t="s">
        <v>624</v>
      </c>
      <c r="B130" s="1145"/>
      <c r="C130" s="1145"/>
      <c r="D130" s="1146"/>
      <c r="E130" s="1001" t="s">
        <v>625</v>
      </c>
      <c r="F130" s="1004"/>
      <c r="G130" s="1004"/>
      <c r="H130" s="1003"/>
    </row>
    <row r="131" spans="1:8" ht="12.75">
      <c r="A131" s="1144" t="s">
        <v>626</v>
      </c>
      <c r="B131" s="1145"/>
      <c r="C131" s="1145"/>
      <c r="D131" s="1146"/>
      <c r="E131" s="1001" t="s">
        <v>627</v>
      </c>
      <c r="F131" s="1004"/>
      <c r="G131" s="1004"/>
      <c r="H131" s="1003"/>
    </row>
    <row r="132" spans="1:8" ht="12.75">
      <c r="A132" s="1144" t="s">
        <v>628</v>
      </c>
      <c r="B132" s="1145"/>
      <c r="C132" s="1145"/>
      <c r="D132" s="1146"/>
      <c r="E132" s="1001" t="s">
        <v>629</v>
      </c>
      <c r="F132" s="1004"/>
      <c r="G132" s="1004"/>
      <c r="H132" s="1003"/>
    </row>
    <row r="133" spans="1:8" ht="14.25">
      <c r="A133" s="1167" t="s">
        <v>630</v>
      </c>
      <c r="B133" s="1168"/>
      <c r="C133" s="1168"/>
      <c r="D133" s="1169"/>
      <c r="E133" s="1001" t="s">
        <v>631</v>
      </c>
      <c r="F133" s="1004">
        <f>SUM(F134,F137)</f>
        <v>13983</v>
      </c>
      <c r="G133" s="1004">
        <f>SUM(G134,G137)</f>
        <v>5275</v>
      </c>
      <c r="H133" s="1003"/>
    </row>
    <row r="134" spans="1:8" ht="12.75">
      <c r="A134" s="1144" t="s">
        <v>632</v>
      </c>
      <c r="B134" s="1145"/>
      <c r="C134" s="1145"/>
      <c r="D134" s="1146"/>
      <c r="E134" s="1001" t="s">
        <v>633</v>
      </c>
      <c r="F134" s="1004">
        <f>SUM(F135:F136)</f>
        <v>13983</v>
      </c>
      <c r="G134" s="1004">
        <f>SUM(G135:G136)</f>
        <v>5275</v>
      </c>
      <c r="H134" s="1003"/>
    </row>
    <row r="135" spans="1:8" ht="14.25">
      <c r="A135" s="1141" t="s">
        <v>634</v>
      </c>
      <c r="B135" s="1142"/>
      <c r="C135" s="1142"/>
      <c r="D135" s="1143"/>
      <c r="E135" s="1008" t="s">
        <v>635</v>
      </c>
      <c r="F135" s="1004">
        <f>250+6941</f>
        <v>7191</v>
      </c>
      <c r="G135" s="1004">
        <f>126+5149</f>
        <v>5275</v>
      </c>
      <c r="H135" s="1003"/>
    </row>
    <row r="136" spans="1:8" ht="12.75">
      <c r="A136" s="1144" t="s">
        <v>636</v>
      </c>
      <c r="B136" s="1145"/>
      <c r="C136" s="1145"/>
      <c r="D136" s="1146"/>
      <c r="E136" s="1001" t="s">
        <v>637</v>
      </c>
      <c r="F136" s="1004">
        <f>4193+2599</f>
        <v>6792</v>
      </c>
      <c r="G136" s="1004"/>
      <c r="H136" s="1003"/>
    </row>
    <row r="137" spans="1:8" ht="12.75">
      <c r="A137" s="1144" t="s">
        <v>638</v>
      </c>
      <c r="B137" s="1145"/>
      <c r="C137" s="1145"/>
      <c r="D137" s="1146"/>
      <c r="E137" s="1001" t="s">
        <v>639</v>
      </c>
      <c r="F137" s="1004"/>
      <c r="G137" s="1004"/>
      <c r="H137" s="1003"/>
    </row>
    <row r="138" spans="1:8" ht="12.75">
      <c r="A138" s="985"/>
      <c r="B138" s="985"/>
      <c r="C138" s="985"/>
      <c r="D138" s="985"/>
      <c r="E138" s="985"/>
      <c r="F138" s="985"/>
      <c r="G138" s="985"/>
      <c r="H138" s="985"/>
    </row>
    <row r="139" spans="1:8" ht="12.75">
      <c r="A139" s="985"/>
      <c r="B139" s="985"/>
      <c r="C139" s="985"/>
      <c r="D139" s="985"/>
      <c r="E139" s="985"/>
      <c r="F139" s="985"/>
      <c r="G139" s="985"/>
      <c r="H139" s="985"/>
    </row>
    <row r="140" spans="1:8" ht="12.75">
      <c r="A140" s="985"/>
      <c r="B140" s="985"/>
      <c r="C140" s="985"/>
      <c r="D140" s="985"/>
      <c r="E140" s="985"/>
      <c r="F140" s="985"/>
      <c r="G140" s="985"/>
      <c r="H140" s="985"/>
    </row>
    <row r="141" spans="1:8" ht="12.75">
      <c r="A141" s="985"/>
      <c r="B141" s="985"/>
      <c r="C141" s="985"/>
      <c r="D141" s="985"/>
      <c r="E141" s="985"/>
      <c r="F141" s="985"/>
      <c r="G141" s="985"/>
      <c r="H141" s="987" t="s">
        <v>57</v>
      </c>
    </row>
    <row r="142" spans="1:8" ht="12.75">
      <c r="A142" s="985"/>
      <c r="B142" s="985"/>
      <c r="C142" s="985"/>
      <c r="D142" s="985"/>
      <c r="E142" s="985"/>
      <c r="F142" s="985"/>
      <c r="G142" s="985"/>
      <c r="H142" s="985"/>
    </row>
    <row r="143" spans="1:8" ht="13.5" thickBot="1">
      <c r="A143" s="985"/>
      <c r="B143" s="985"/>
      <c r="C143" s="985"/>
      <c r="D143" s="985"/>
      <c r="E143" s="985"/>
      <c r="F143" s="985"/>
      <c r="G143" s="985"/>
      <c r="H143" s="987" t="s">
        <v>1305</v>
      </c>
    </row>
    <row r="144" spans="1:8" ht="14.25" customHeight="1">
      <c r="A144" s="1097" t="s">
        <v>441</v>
      </c>
      <c r="B144" s="1098"/>
      <c r="C144" s="1098"/>
      <c r="D144" s="1099"/>
      <c r="E144" s="1103" t="s">
        <v>442</v>
      </c>
      <c r="F144" s="988" t="s">
        <v>443</v>
      </c>
      <c r="G144" s="988" t="s">
        <v>444</v>
      </c>
      <c r="H144" s="989" t="s">
        <v>445</v>
      </c>
    </row>
    <row r="145" spans="1:8" ht="14.25" customHeight="1">
      <c r="A145" s="1100"/>
      <c r="B145" s="1101"/>
      <c r="C145" s="1101"/>
      <c r="D145" s="1102"/>
      <c r="E145" s="1104"/>
      <c r="F145" s="1133" t="s">
        <v>446</v>
      </c>
      <c r="G145" s="1133"/>
      <c r="H145" s="1134"/>
    </row>
    <row r="146" spans="1:8" ht="13.5" thickBot="1">
      <c r="A146" s="1111">
        <v>1</v>
      </c>
      <c r="B146" s="1112"/>
      <c r="C146" s="1112"/>
      <c r="D146" s="1112"/>
      <c r="E146" s="995">
        <v>2</v>
      </c>
      <c r="F146" s="995">
        <v>3</v>
      </c>
      <c r="G146" s="995">
        <v>4</v>
      </c>
      <c r="H146" s="996">
        <v>5</v>
      </c>
    </row>
    <row r="147" spans="1:8" ht="15">
      <c r="A147" s="1119" t="s">
        <v>640</v>
      </c>
      <c r="B147" s="1120"/>
      <c r="C147" s="1120"/>
      <c r="D147" s="1121"/>
      <c r="E147" s="1001" t="s">
        <v>641</v>
      </c>
      <c r="F147" s="1002">
        <f>SUM(F148,F151)</f>
        <v>21765</v>
      </c>
      <c r="G147" s="1002">
        <f>SUM(G148,G151)</f>
        <v>277</v>
      </c>
      <c r="H147" s="1003"/>
    </row>
    <row r="148" spans="1:8" ht="14.25">
      <c r="A148" s="1167" t="s">
        <v>642</v>
      </c>
      <c r="B148" s="1168"/>
      <c r="C148" s="1168"/>
      <c r="D148" s="1169"/>
      <c r="E148" s="1001" t="s">
        <v>643</v>
      </c>
      <c r="F148" s="1004">
        <f>SUM(F149:F150)</f>
        <v>21765</v>
      </c>
      <c r="G148" s="1004">
        <f>SUM(G149:G150)</f>
        <v>277</v>
      </c>
      <c r="H148" s="1003"/>
    </row>
    <row r="149" spans="1:8" ht="14.25">
      <c r="A149" s="1082" t="s">
        <v>644</v>
      </c>
      <c r="B149" s="1083"/>
      <c r="C149" s="1083"/>
      <c r="D149" s="1084"/>
      <c r="E149" s="1001" t="s">
        <v>645</v>
      </c>
      <c r="F149" s="1004">
        <v>12622</v>
      </c>
      <c r="G149" s="1004">
        <v>277</v>
      </c>
      <c r="H149" s="1003"/>
    </row>
    <row r="150" spans="1:8" ht="14.25">
      <c r="A150" s="1082" t="s">
        <v>646</v>
      </c>
      <c r="B150" s="1083"/>
      <c r="C150" s="1083"/>
      <c r="D150" s="1084"/>
      <c r="E150" s="1001" t="s">
        <v>647</v>
      </c>
      <c r="F150" s="1004">
        <v>9143</v>
      </c>
      <c r="G150" s="1004"/>
      <c r="H150" s="1003"/>
    </row>
    <row r="151" spans="1:8" ht="14.25">
      <c r="A151" s="1164" t="s">
        <v>648</v>
      </c>
      <c r="B151" s="1165"/>
      <c r="C151" s="1165"/>
      <c r="D151" s="1166"/>
      <c r="E151" s="1008" t="s">
        <v>649</v>
      </c>
      <c r="F151" s="1004"/>
      <c r="G151" s="1004"/>
      <c r="H151" s="1003"/>
    </row>
    <row r="152" spans="1:8" ht="14.25">
      <c r="A152" s="1119" t="s">
        <v>650</v>
      </c>
      <c r="B152" s="1120"/>
      <c r="C152" s="1120"/>
      <c r="D152" s="1121"/>
      <c r="E152" s="1001" t="s">
        <v>651</v>
      </c>
      <c r="F152" s="1004"/>
      <c r="G152" s="1004"/>
      <c r="H152" s="1003"/>
    </row>
    <row r="153" spans="1:8" ht="14.25">
      <c r="A153" s="1119" t="s">
        <v>652</v>
      </c>
      <c r="B153" s="1120"/>
      <c r="C153" s="1120"/>
      <c r="D153" s="1121"/>
      <c r="E153" s="1001" t="s">
        <v>653</v>
      </c>
      <c r="F153" s="1004"/>
      <c r="G153" s="1004"/>
      <c r="H153" s="1003"/>
    </row>
    <row r="154" spans="1:8" ht="15">
      <c r="A154" s="1161" t="s">
        <v>654</v>
      </c>
      <c r="B154" s="1162"/>
      <c r="C154" s="1162"/>
      <c r="D154" s="1163"/>
      <c r="E154" s="1001" t="s">
        <v>655</v>
      </c>
      <c r="F154" s="1004"/>
      <c r="G154" s="1023">
        <f>SUM(G155)</f>
        <v>37716</v>
      </c>
      <c r="H154" s="1003"/>
    </row>
    <row r="155" spans="1:8" ht="14.25">
      <c r="A155" s="1119" t="s">
        <v>656</v>
      </c>
      <c r="B155" s="1120"/>
      <c r="C155" s="1120"/>
      <c r="D155" s="1121"/>
      <c r="E155" s="1001" t="s">
        <v>657</v>
      </c>
      <c r="F155" s="1024"/>
      <c r="G155" s="1024">
        <f>SUM(G156:G161)</f>
        <v>37716</v>
      </c>
      <c r="H155" s="1003"/>
    </row>
    <row r="156" spans="1:8" ht="12.75">
      <c r="A156" s="1144" t="s">
        <v>658</v>
      </c>
      <c r="B156" s="1145"/>
      <c r="C156" s="1145"/>
      <c r="D156" s="1146"/>
      <c r="E156" s="1001" t="s">
        <v>659</v>
      </c>
      <c r="F156" s="1004"/>
      <c r="G156" s="1004">
        <v>18034</v>
      </c>
      <c r="H156" s="1003"/>
    </row>
    <row r="157" spans="1:8" ht="12.75">
      <c r="A157" s="1144" t="s">
        <v>660</v>
      </c>
      <c r="B157" s="1145"/>
      <c r="C157" s="1145"/>
      <c r="D157" s="1146"/>
      <c r="E157" s="1001" t="s">
        <v>661</v>
      </c>
      <c r="F157" s="1004"/>
      <c r="G157" s="1004">
        <f>9388+1790</f>
        <v>11178</v>
      </c>
      <c r="H157" s="1003"/>
    </row>
    <row r="158" spans="1:8" ht="12.75">
      <c r="A158" s="1144" t="s">
        <v>662</v>
      </c>
      <c r="B158" s="1145"/>
      <c r="C158" s="1145"/>
      <c r="D158" s="1146"/>
      <c r="E158" s="1001" t="s">
        <v>663</v>
      </c>
      <c r="F158" s="1004"/>
      <c r="G158" s="1004">
        <v>576</v>
      </c>
      <c r="H158" s="1003"/>
    </row>
    <row r="159" spans="1:8" ht="14.25">
      <c r="A159" s="1082" t="s">
        <v>664</v>
      </c>
      <c r="B159" s="1083"/>
      <c r="C159" s="1083"/>
      <c r="D159" s="1084"/>
      <c r="E159" s="1001" t="s">
        <v>665</v>
      </c>
      <c r="F159" s="1025"/>
      <c r="G159" s="1025">
        <v>400</v>
      </c>
      <c r="H159" s="1003"/>
    </row>
    <row r="160" spans="1:8" ht="14.25">
      <c r="A160" s="1082" t="s">
        <v>666</v>
      </c>
      <c r="B160" s="1083"/>
      <c r="C160" s="1083"/>
      <c r="D160" s="1084"/>
      <c r="E160" s="1001" t="s">
        <v>667</v>
      </c>
      <c r="F160" s="1004"/>
      <c r="G160" s="1004"/>
      <c r="H160" s="1003"/>
    </row>
    <row r="161" spans="1:8" ht="14.25">
      <c r="A161" s="1082" t="s">
        <v>668</v>
      </c>
      <c r="B161" s="1159"/>
      <c r="C161" s="1159"/>
      <c r="D161" s="1160"/>
      <c r="E161" s="1001" t="s">
        <v>669</v>
      </c>
      <c r="F161" s="1004"/>
      <c r="G161" s="1004">
        <v>7528</v>
      </c>
      <c r="H161" s="1003"/>
    </row>
    <row r="162" spans="1:8" ht="15.75">
      <c r="A162" s="1130" t="s">
        <v>670</v>
      </c>
      <c r="B162" s="1131"/>
      <c r="C162" s="1131"/>
      <c r="D162" s="1132"/>
      <c r="E162" s="1001" t="s">
        <v>671</v>
      </c>
      <c r="F162" s="1004"/>
      <c r="G162" s="1026">
        <f>SUM(G163)</f>
        <v>18306</v>
      </c>
      <c r="H162" s="1003"/>
    </row>
    <row r="163" spans="1:8" ht="15">
      <c r="A163" s="1119" t="s">
        <v>672</v>
      </c>
      <c r="B163" s="1120"/>
      <c r="C163" s="1120"/>
      <c r="D163" s="1121"/>
      <c r="E163" s="1001" t="s">
        <v>673</v>
      </c>
      <c r="F163" s="1004"/>
      <c r="G163" s="1002">
        <f>SUM(G164,G166,G167,G172)</f>
        <v>18306</v>
      </c>
      <c r="H163" s="1003"/>
    </row>
    <row r="164" spans="1:8" ht="15">
      <c r="A164" s="1119" t="s">
        <v>674</v>
      </c>
      <c r="B164" s="1120"/>
      <c r="C164" s="1120"/>
      <c r="D164" s="1121"/>
      <c r="E164" s="1001" t="s">
        <v>675</v>
      </c>
      <c r="F164" s="1004"/>
      <c r="G164" s="1002">
        <f>SUM(G165)</f>
        <v>17107</v>
      </c>
      <c r="H164" s="1003"/>
    </row>
    <row r="165" spans="1:8" ht="12.75">
      <c r="A165" s="1144" t="s">
        <v>676</v>
      </c>
      <c r="B165" s="1145"/>
      <c r="C165" s="1145"/>
      <c r="D165" s="1146"/>
      <c r="E165" s="1001" t="s">
        <v>677</v>
      </c>
      <c r="F165" s="1004"/>
      <c r="G165" s="1004">
        <v>17107</v>
      </c>
      <c r="H165" s="1003"/>
    </row>
    <row r="166" spans="1:8" ht="14.25">
      <c r="A166" s="1119" t="s">
        <v>678</v>
      </c>
      <c r="B166" s="1120"/>
      <c r="C166" s="1120"/>
      <c r="D166" s="1121"/>
      <c r="E166" s="1001" t="s">
        <v>679</v>
      </c>
      <c r="F166" s="1004"/>
      <c r="G166" s="1004"/>
      <c r="H166" s="1003"/>
    </row>
    <row r="167" spans="1:8" ht="15">
      <c r="A167" s="1119" t="s">
        <v>680</v>
      </c>
      <c r="B167" s="1120"/>
      <c r="C167" s="1120"/>
      <c r="D167" s="1121"/>
      <c r="E167" s="1001" t="s">
        <v>681</v>
      </c>
      <c r="F167" s="1004"/>
      <c r="G167" s="1002">
        <f>SUM(G168:G171)</f>
        <v>1199</v>
      </c>
      <c r="H167" s="1003"/>
    </row>
    <row r="168" spans="1:8" ht="12.75">
      <c r="A168" s="1144" t="s">
        <v>682</v>
      </c>
      <c r="B168" s="1145"/>
      <c r="C168" s="1145"/>
      <c r="D168" s="1146"/>
      <c r="E168" s="1001" t="s">
        <v>683</v>
      </c>
      <c r="F168" s="1004"/>
      <c r="G168" s="1004">
        <v>1199</v>
      </c>
      <c r="H168" s="1003"/>
    </row>
    <row r="169" spans="1:8" ht="12.75">
      <c r="A169" s="1144" t="s">
        <v>684</v>
      </c>
      <c r="B169" s="1145"/>
      <c r="C169" s="1145"/>
      <c r="D169" s="1146"/>
      <c r="E169" s="1001" t="s">
        <v>685</v>
      </c>
      <c r="F169" s="1004"/>
      <c r="G169" s="1004"/>
      <c r="H169" s="1003"/>
    </row>
    <row r="170" spans="1:8" ht="12.75">
      <c r="A170" s="1144" t="s">
        <v>686</v>
      </c>
      <c r="B170" s="1145"/>
      <c r="C170" s="1145"/>
      <c r="D170" s="1146"/>
      <c r="E170" s="1001" t="s">
        <v>687</v>
      </c>
      <c r="F170" s="1004"/>
      <c r="G170" s="1004"/>
      <c r="H170" s="1003"/>
    </row>
    <row r="171" spans="1:8" ht="14.25">
      <c r="A171" s="1141" t="s">
        <v>688</v>
      </c>
      <c r="B171" s="1142"/>
      <c r="C171" s="1142"/>
      <c r="D171" s="1143"/>
      <c r="E171" s="1008" t="s">
        <v>689</v>
      </c>
      <c r="F171" s="1004"/>
      <c r="G171" s="1004"/>
      <c r="H171" s="1003"/>
    </row>
    <row r="172" spans="1:8" ht="14.25">
      <c r="A172" s="1119" t="s">
        <v>690</v>
      </c>
      <c r="B172" s="1120"/>
      <c r="C172" s="1120"/>
      <c r="D172" s="1121"/>
      <c r="E172" s="1001" t="s">
        <v>691</v>
      </c>
      <c r="F172" s="1004"/>
      <c r="G172" s="1004"/>
      <c r="H172" s="1003"/>
    </row>
    <row r="173" spans="1:8" ht="15.75">
      <c r="A173" s="1156" t="s">
        <v>692</v>
      </c>
      <c r="B173" s="1157"/>
      <c r="C173" s="1157"/>
      <c r="D173" s="1158"/>
      <c r="E173" s="1008" t="s">
        <v>693</v>
      </c>
      <c r="F173" s="1027">
        <f>SUM(F174,F193)</f>
        <v>624439</v>
      </c>
      <c r="G173" s="1028">
        <f>SUM(G174,G193)</f>
        <v>391390</v>
      </c>
      <c r="H173" s="1003"/>
    </row>
    <row r="174" spans="1:8" ht="15">
      <c r="A174" s="1150" t="s">
        <v>694</v>
      </c>
      <c r="B174" s="1151"/>
      <c r="C174" s="1151"/>
      <c r="D174" s="1152"/>
      <c r="E174" s="1001" t="s">
        <v>695</v>
      </c>
      <c r="F174" s="1029">
        <f>SUM(F175,F182,F189)</f>
        <v>624439</v>
      </c>
      <c r="G174" s="1029">
        <f>SUM(G175,G182,G189)</f>
        <v>391390</v>
      </c>
      <c r="H174" s="1003"/>
    </row>
    <row r="175" spans="1:8" ht="15">
      <c r="A175" s="1150" t="s">
        <v>696</v>
      </c>
      <c r="B175" s="1151"/>
      <c r="C175" s="1151"/>
      <c r="D175" s="1152"/>
      <c r="E175" s="1008" t="s">
        <v>697</v>
      </c>
      <c r="F175" s="1002">
        <f>SUM(F176,F179)</f>
        <v>556645</v>
      </c>
      <c r="G175" s="1002">
        <f>SUM(G176,G179)</f>
        <v>391390</v>
      </c>
      <c r="H175" s="1003"/>
    </row>
    <row r="176" spans="1:8" ht="14.25">
      <c r="A176" s="1141" t="s">
        <v>698</v>
      </c>
      <c r="B176" s="1142"/>
      <c r="C176" s="1142"/>
      <c r="D176" s="1143"/>
      <c r="E176" s="1030" t="s">
        <v>699</v>
      </c>
      <c r="F176" s="1031"/>
      <c r="G176" s="1031"/>
      <c r="H176" s="1021"/>
    </row>
    <row r="177" spans="1:8" ht="14.25">
      <c r="A177" s="1153" t="s">
        <v>700</v>
      </c>
      <c r="B177" s="1154"/>
      <c r="C177" s="1154"/>
      <c r="D177" s="1155"/>
      <c r="E177" s="1001" t="s">
        <v>701</v>
      </c>
      <c r="F177" s="1004"/>
      <c r="G177" s="1004"/>
      <c r="H177" s="1003"/>
    </row>
    <row r="178" spans="1:8" ht="14.25">
      <c r="A178" s="1082" t="s">
        <v>702</v>
      </c>
      <c r="B178" s="1083"/>
      <c r="C178" s="1083"/>
      <c r="D178" s="1084"/>
      <c r="E178" s="1001" t="s">
        <v>703</v>
      </c>
      <c r="F178" s="1004"/>
      <c r="G178" s="1004"/>
      <c r="H178" s="1003"/>
    </row>
    <row r="179" spans="1:8" ht="12.75">
      <c r="A179" s="1147" t="s">
        <v>704</v>
      </c>
      <c r="B179" s="1148"/>
      <c r="C179" s="1148"/>
      <c r="D179" s="1149"/>
      <c r="E179" s="1008" t="s">
        <v>705</v>
      </c>
      <c r="F179" s="1032">
        <f>SUM(F180:F181)</f>
        <v>556645</v>
      </c>
      <c r="G179" s="1032">
        <f>SUM(G180:G181)</f>
        <v>391390</v>
      </c>
      <c r="H179" s="1010"/>
    </row>
    <row r="180" spans="1:8" ht="12.75">
      <c r="A180" s="1144" t="s">
        <v>706</v>
      </c>
      <c r="B180" s="1145"/>
      <c r="C180" s="1145"/>
      <c r="D180" s="1146"/>
      <c r="E180" s="1001" t="s">
        <v>707</v>
      </c>
      <c r="F180" s="1004">
        <v>556645</v>
      </c>
      <c r="G180" s="1004">
        <v>391390</v>
      </c>
      <c r="H180" s="1003"/>
    </row>
    <row r="181" spans="1:8" ht="12.75">
      <c r="A181" s="1144" t="s">
        <v>708</v>
      </c>
      <c r="B181" s="1145"/>
      <c r="C181" s="1145"/>
      <c r="D181" s="1146"/>
      <c r="E181" s="1001" t="s">
        <v>709</v>
      </c>
      <c r="F181" s="1004"/>
      <c r="G181" s="1004"/>
      <c r="H181" s="1003"/>
    </row>
    <row r="182" spans="1:8" ht="15">
      <c r="A182" s="1119" t="s">
        <v>710</v>
      </c>
      <c r="B182" s="1120"/>
      <c r="C182" s="1120"/>
      <c r="D182" s="1121"/>
      <c r="E182" s="1001" t="s">
        <v>711</v>
      </c>
      <c r="F182" s="1002">
        <f>SUM(F183,F186)</f>
        <v>67794</v>
      </c>
      <c r="G182" s="1004"/>
      <c r="H182" s="1003"/>
    </row>
    <row r="183" spans="1:8" ht="12.75">
      <c r="A183" s="1144" t="s">
        <v>712</v>
      </c>
      <c r="B183" s="1145"/>
      <c r="C183" s="1145"/>
      <c r="D183" s="1146"/>
      <c r="E183" s="1001" t="s">
        <v>713</v>
      </c>
      <c r="F183" s="1004"/>
      <c r="G183" s="1004"/>
      <c r="H183" s="1003"/>
    </row>
    <row r="184" spans="1:8" ht="12.75">
      <c r="A184" s="1144" t="s">
        <v>714</v>
      </c>
      <c r="B184" s="1145"/>
      <c r="C184" s="1145"/>
      <c r="D184" s="1146"/>
      <c r="E184" s="1001" t="s">
        <v>715</v>
      </c>
      <c r="F184" s="1004"/>
      <c r="G184" s="1004"/>
      <c r="H184" s="1003"/>
    </row>
    <row r="185" spans="1:8" ht="14.25">
      <c r="A185" s="1141" t="s">
        <v>716</v>
      </c>
      <c r="B185" s="1142"/>
      <c r="C185" s="1142"/>
      <c r="D185" s="1143"/>
      <c r="E185" s="1008" t="s">
        <v>717</v>
      </c>
      <c r="F185" s="1004"/>
      <c r="G185" s="1004"/>
      <c r="H185" s="1003"/>
    </row>
    <row r="186" spans="1:8" ht="12.75">
      <c r="A186" s="1144" t="s">
        <v>718</v>
      </c>
      <c r="B186" s="1145"/>
      <c r="C186" s="1145"/>
      <c r="D186" s="1146"/>
      <c r="E186" s="1001" t="s">
        <v>719</v>
      </c>
      <c r="F186" s="1004">
        <f>SUM(F187:F188)</f>
        <v>67794</v>
      </c>
      <c r="G186" s="1004"/>
      <c r="H186" s="1003"/>
    </row>
    <row r="187" spans="1:8" ht="12.75">
      <c r="A187" s="1144" t="s">
        <v>720</v>
      </c>
      <c r="B187" s="1145"/>
      <c r="C187" s="1145"/>
      <c r="D187" s="1146"/>
      <c r="E187" s="1001" t="s">
        <v>721</v>
      </c>
      <c r="F187" s="1004"/>
      <c r="G187" s="1004"/>
      <c r="H187" s="1003"/>
    </row>
    <row r="188" spans="1:8" ht="14.25">
      <c r="A188" s="1082" t="s">
        <v>722</v>
      </c>
      <c r="B188" s="1083"/>
      <c r="C188" s="1083"/>
      <c r="D188" s="1084"/>
      <c r="E188" s="1001" t="s">
        <v>723</v>
      </c>
      <c r="F188" s="1004">
        <v>67794</v>
      </c>
      <c r="G188" s="1004"/>
      <c r="H188" s="1003"/>
    </row>
    <row r="189" spans="1:8" ht="14.25">
      <c r="A189" s="1119" t="s">
        <v>724</v>
      </c>
      <c r="B189" s="1120"/>
      <c r="C189" s="1120"/>
      <c r="D189" s="1121"/>
      <c r="E189" s="1001" t="s">
        <v>725</v>
      </c>
      <c r="F189" s="1004"/>
      <c r="G189" s="1004"/>
      <c r="H189" s="1003"/>
    </row>
    <row r="190" spans="1:8" ht="12.75">
      <c r="A190" s="1144" t="s">
        <v>726</v>
      </c>
      <c r="B190" s="1145"/>
      <c r="C190" s="1145"/>
      <c r="D190" s="1146"/>
      <c r="E190" s="1001" t="s">
        <v>727</v>
      </c>
      <c r="F190" s="1004"/>
      <c r="G190" s="1004"/>
      <c r="H190" s="1003"/>
    </row>
    <row r="191" spans="1:8" ht="12.75">
      <c r="A191" s="1144" t="s">
        <v>728</v>
      </c>
      <c r="B191" s="1145"/>
      <c r="C191" s="1145"/>
      <c r="D191" s="1146"/>
      <c r="E191" s="1001" t="s">
        <v>729</v>
      </c>
      <c r="F191" s="1004"/>
      <c r="G191" s="1004"/>
      <c r="H191" s="1003"/>
    </row>
    <row r="192" spans="1:8" ht="14.25">
      <c r="A192" s="1082" t="s">
        <v>730</v>
      </c>
      <c r="B192" s="1083"/>
      <c r="C192" s="1083"/>
      <c r="D192" s="1084"/>
      <c r="E192" s="1001" t="s">
        <v>731</v>
      </c>
      <c r="F192" s="1004"/>
      <c r="G192" s="1004"/>
      <c r="H192" s="1003"/>
    </row>
    <row r="193" spans="1:8" ht="14.25">
      <c r="A193" s="1138" t="s">
        <v>732</v>
      </c>
      <c r="B193" s="1139"/>
      <c r="C193" s="1139"/>
      <c r="D193" s="1140"/>
      <c r="E193" s="1008" t="s">
        <v>733</v>
      </c>
      <c r="F193" s="1004"/>
      <c r="G193" s="1004"/>
      <c r="H193" s="1003"/>
    </row>
    <row r="194" spans="1:8" ht="14.25">
      <c r="A194" s="1138" t="s">
        <v>734</v>
      </c>
      <c r="B194" s="1139"/>
      <c r="C194" s="1139"/>
      <c r="D194" s="1140"/>
      <c r="E194" s="1008" t="s">
        <v>735</v>
      </c>
      <c r="F194" s="1004"/>
      <c r="G194" s="1004"/>
      <c r="H194" s="1003"/>
    </row>
    <row r="195" spans="1:8" ht="14.25">
      <c r="A195" s="1141" t="s">
        <v>736</v>
      </c>
      <c r="B195" s="1142"/>
      <c r="C195" s="1142"/>
      <c r="D195" s="1143"/>
      <c r="E195" s="1008" t="s">
        <v>737</v>
      </c>
      <c r="F195" s="1004"/>
      <c r="G195" s="1004"/>
      <c r="H195" s="1003"/>
    </row>
    <row r="196" spans="1:8" ht="14.25">
      <c r="A196" s="1082" t="s">
        <v>738</v>
      </c>
      <c r="B196" s="1083"/>
      <c r="C196" s="1083"/>
      <c r="D196" s="1084"/>
      <c r="E196" s="1001" t="s">
        <v>739</v>
      </c>
      <c r="F196" s="1004"/>
      <c r="G196" s="1004"/>
      <c r="H196" s="1003"/>
    </row>
    <row r="197" spans="1:8" ht="14.25">
      <c r="A197" s="1138" t="s">
        <v>740</v>
      </c>
      <c r="B197" s="1139"/>
      <c r="C197" s="1139"/>
      <c r="D197" s="1140"/>
      <c r="E197" s="1008" t="s">
        <v>741</v>
      </c>
      <c r="F197" s="1004"/>
      <c r="G197" s="1004"/>
      <c r="H197" s="1003"/>
    </row>
    <row r="198" spans="1:8" ht="14.25">
      <c r="A198" s="1082" t="s">
        <v>742</v>
      </c>
      <c r="B198" s="1083"/>
      <c r="C198" s="1083"/>
      <c r="D198" s="1084"/>
      <c r="E198" s="1001" t="s">
        <v>743</v>
      </c>
      <c r="F198" s="1004"/>
      <c r="G198" s="1004"/>
      <c r="H198" s="1003"/>
    </row>
    <row r="199" spans="1:8" ht="13.5" thickBot="1">
      <c r="A199" s="1135" t="s">
        <v>744</v>
      </c>
      <c r="B199" s="1136"/>
      <c r="C199" s="1136"/>
      <c r="D199" s="1137"/>
      <c r="E199" s="995" t="s">
        <v>745</v>
      </c>
      <c r="F199" s="1033"/>
      <c r="G199" s="1033"/>
      <c r="H199" s="1034"/>
    </row>
    <row r="200" spans="1:8" ht="12.75">
      <c r="A200" s="985"/>
      <c r="B200" s="985"/>
      <c r="C200" s="985"/>
      <c r="D200" s="985"/>
      <c r="E200" s="985"/>
      <c r="F200" s="985"/>
      <c r="G200" s="985"/>
      <c r="H200" s="985"/>
    </row>
    <row r="201" spans="1:8" ht="12.75">
      <c r="A201" s="985"/>
      <c r="B201" s="985"/>
      <c r="C201" s="985"/>
      <c r="D201" s="985"/>
      <c r="E201" s="985"/>
      <c r="F201" s="985"/>
      <c r="G201" s="985"/>
      <c r="H201" s="985"/>
    </row>
    <row r="202" spans="1:8" ht="12.75">
      <c r="A202" s="985"/>
      <c r="B202" s="985"/>
      <c r="C202" s="985"/>
      <c r="D202" s="985"/>
      <c r="E202" s="985"/>
      <c r="F202" s="985"/>
      <c r="G202" s="985"/>
      <c r="H202" s="985"/>
    </row>
    <row r="203" spans="1:8" ht="12.75">
      <c r="A203" s="985"/>
      <c r="B203" s="985"/>
      <c r="C203" s="985"/>
      <c r="D203" s="985"/>
      <c r="E203" s="985"/>
      <c r="F203" s="985"/>
      <c r="G203" s="985"/>
      <c r="H203" s="985"/>
    </row>
    <row r="204" spans="1:8" ht="12.75">
      <c r="A204" s="985"/>
      <c r="B204" s="985"/>
      <c r="C204" s="985"/>
      <c r="D204" s="985"/>
      <c r="E204" s="985"/>
      <c r="F204" s="985"/>
      <c r="G204" s="985"/>
      <c r="H204" s="985"/>
    </row>
    <row r="205" spans="1:8" ht="12.75">
      <c r="A205" s="985"/>
      <c r="B205" s="985"/>
      <c r="C205" s="985"/>
      <c r="D205" s="985"/>
      <c r="E205" s="985"/>
      <c r="F205" s="985"/>
      <c r="G205" s="985"/>
      <c r="H205" s="987" t="s">
        <v>112</v>
      </c>
    </row>
    <row r="206" spans="1:8" ht="12.75">
      <c r="A206" s="985"/>
      <c r="B206" s="985"/>
      <c r="C206" s="985"/>
      <c r="D206" s="985"/>
      <c r="E206" s="985"/>
      <c r="F206" s="985"/>
      <c r="G206" s="985"/>
      <c r="H206" s="985"/>
    </row>
    <row r="207" spans="1:8" ht="13.5" thickBot="1">
      <c r="A207" s="985"/>
      <c r="B207" s="985"/>
      <c r="C207" s="985"/>
      <c r="D207" s="985"/>
      <c r="E207" s="985"/>
      <c r="F207" s="985"/>
      <c r="G207" s="985"/>
      <c r="H207" s="987" t="s">
        <v>1305</v>
      </c>
    </row>
    <row r="208" spans="1:8" ht="14.25" customHeight="1">
      <c r="A208" s="1097" t="s">
        <v>441</v>
      </c>
      <c r="B208" s="1098"/>
      <c r="C208" s="1098"/>
      <c r="D208" s="1099"/>
      <c r="E208" s="1103" t="s">
        <v>442</v>
      </c>
      <c r="F208" s="988" t="s">
        <v>443</v>
      </c>
      <c r="G208" s="988" t="s">
        <v>444</v>
      </c>
      <c r="H208" s="989" t="s">
        <v>445</v>
      </c>
    </row>
    <row r="209" spans="1:8" ht="14.25" customHeight="1">
      <c r="A209" s="1100"/>
      <c r="B209" s="1101"/>
      <c r="C209" s="1101"/>
      <c r="D209" s="1102"/>
      <c r="E209" s="1104"/>
      <c r="F209" s="1133" t="s">
        <v>446</v>
      </c>
      <c r="G209" s="1133"/>
      <c r="H209" s="1134"/>
    </row>
    <row r="210" spans="1:8" ht="13.5" thickBot="1">
      <c r="A210" s="1111">
        <v>1</v>
      </c>
      <c r="B210" s="1112"/>
      <c r="C210" s="1112"/>
      <c r="D210" s="1112"/>
      <c r="E210" s="995">
        <v>2</v>
      </c>
      <c r="F210" s="995">
        <v>3</v>
      </c>
      <c r="G210" s="995">
        <v>4</v>
      </c>
      <c r="H210" s="996">
        <v>5</v>
      </c>
    </row>
    <row r="211" spans="1:8" ht="14.25">
      <c r="A211" s="1122" t="s">
        <v>746</v>
      </c>
      <c r="B211" s="1123"/>
      <c r="C211" s="1123"/>
      <c r="D211" s="1124"/>
      <c r="E211" s="1035" t="s">
        <v>747</v>
      </c>
      <c r="F211" s="1036"/>
      <c r="G211" s="1036"/>
      <c r="H211" s="1037"/>
    </row>
    <row r="212" spans="1:8" ht="14.25">
      <c r="A212" s="1082" t="s">
        <v>748</v>
      </c>
      <c r="B212" s="1083"/>
      <c r="C212" s="1083"/>
      <c r="D212" s="1084"/>
      <c r="E212" s="1038" t="s">
        <v>749</v>
      </c>
      <c r="F212" s="1025"/>
      <c r="G212" s="1025"/>
      <c r="H212" s="1039"/>
    </row>
    <row r="213" spans="1:8" ht="14.25">
      <c r="A213" s="1082" t="s">
        <v>750</v>
      </c>
      <c r="B213" s="1083"/>
      <c r="C213" s="1083"/>
      <c r="D213" s="1084"/>
      <c r="E213" s="1038" t="s">
        <v>751</v>
      </c>
      <c r="F213" s="1025"/>
      <c r="G213" s="1025"/>
      <c r="H213" s="1039"/>
    </row>
    <row r="214" spans="1:8" ht="14.25">
      <c r="A214" s="1119" t="s">
        <v>752</v>
      </c>
      <c r="B214" s="1120"/>
      <c r="C214" s="1120"/>
      <c r="D214" s="1121"/>
      <c r="E214" s="1038" t="s">
        <v>753</v>
      </c>
      <c r="F214" s="1025"/>
      <c r="G214" s="1025"/>
      <c r="H214" s="1039"/>
    </row>
    <row r="215" spans="1:8" ht="14.25">
      <c r="A215" s="1082" t="s">
        <v>754</v>
      </c>
      <c r="B215" s="1083"/>
      <c r="C215" s="1083"/>
      <c r="D215" s="1084"/>
      <c r="E215" s="1038" t="s">
        <v>755</v>
      </c>
      <c r="F215" s="1025"/>
      <c r="G215" s="1025"/>
      <c r="H215" s="1039"/>
    </row>
    <row r="216" spans="1:8" ht="14.25">
      <c r="A216" s="1082" t="s">
        <v>756</v>
      </c>
      <c r="B216" s="1083"/>
      <c r="C216" s="1083"/>
      <c r="D216" s="1084"/>
      <c r="E216" s="1038" t="s">
        <v>757</v>
      </c>
      <c r="F216" s="1025"/>
      <c r="G216" s="1025"/>
      <c r="H216" s="1039"/>
    </row>
    <row r="217" spans="1:8" ht="15.75">
      <c r="A217" s="1130" t="s">
        <v>758</v>
      </c>
      <c r="B217" s="1131"/>
      <c r="C217" s="1131"/>
      <c r="D217" s="1132"/>
      <c r="E217" s="1038" t="s">
        <v>759</v>
      </c>
      <c r="F217" s="1026">
        <f>SUM(F12,F26,F162,F173)</f>
        <v>6433632</v>
      </c>
      <c r="G217" s="1026">
        <f>SUM(G12,G26,G162,G173)</f>
        <v>5048810</v>
      </c>
      <c r="H217" s="1039"/>
    </row>
    <row r="218" spans="1:8" ht="15">
      <c r="A218" s="984" t="s">
        <v>760</v>
      </c>
      <c r="B218" s="969"/>
      <c r="C218" s="969"/>
      <c r="D218" s="1074"/>
      <c r="E218" s="1038" t="s">
        <v>761</v>
      </c>
      <c r="F218" s="1025"/>
      <c r="G218" s="1002">
        <f>SUM(G227,G219,G237)</f>
        <v>2991</v>
      </c>
      <c r="H218" s="1039"/>
    </row>
    <row r="219" spans="1:8" ht="14.25">
      <c r="A219" s="1127" t="s">
        <v>762</v>
      </c>
      <c r="B219" s="1128"/>
      <c r="C219" s="1128"/>
      <c r="D219" s="1129"/>
      <c r="E219" s="1038" t="s">
        <v>763</v>
      </c>
      <c r="F219" s="1025"/>
      <c r="G219" s="1040">
        <f>SUM(G220:G226)</f>
        <v>2955</v>
      </c>
      <c r="H219" s="1039"/>
    </row>
    <row r="220" spans="1:8" ht="14.25">
      <c r="A220" s="1082" t="s">
        <v>764</v>
      </c>
      <c r="B220" s="1083"/>
      <c r="C220" s="1083"/>
      <c r="D220" s="1084"/>
      <c r="E220" s="1038" t="s">
        <v>765</v>
      </c>
      <c r="F220" s="1025"/>
      <c r="G220" s="1025">
        <f>1597+672</f>
        <v>2269</v>
      </c>
      <c r="H220" s="1039"/>
    </row>
    <row r="221" spans="1:8" ht="14.25">
      <c r="A221" s="1082" t="s">
        <v>766</v>
      </c>
      <c r="B221" s="1083"/>
      <c r="C221" s="1083"/>
      <c r="D221" s="1084"/>
      <c r="E221" s="1038" t="s">
        <v>767</v>
      </c>
      <c r="F221" s="1025"/>
      <c r="G221" s="1025"/>
      <c r="H221" s="1039"/>
    </row>
    <row r="222" spans="1:8" ht="14.25">
      <c r="A222" s="1082" t="s">
        <v>768</v>
      </c>
      <c r="B222" s="1083"/>
      <c r="C222" s="1083"/>
      <c r="D222" s="1084"/>
      <c r="E222" s="1038" t="s">
        <v>769</v>
      </c>
      <c r="F222" s="1025"/>
      <c r="G222" s="1025"/>
      <c r="H222" s="1039"/>
    </row>
    <row r="223" spans="1:8" ht="14.25">
      <c r="A223" s="1082" t="s">
        <v>770</v>
      </c>
      <c r="B223" s="1083"/>
      <c r="C223" s="1083"/>
      <c r="D223" s="1084"/>
      <c r="E223" s="1038" t="s">
        <v>771</v>
      </c>
      <c r="F223" s="1025"/>
      <c r="G223" s="1025"/>
      <c r="H223" s="1039"/>
    </row>
    <row r="224" spans="1:8" ht="14.25">
      <c r="A224" s="1082" t="s">
        <v>772</v>
      </c>
      <c r="B224" s="1083"/>
      <c r="C224" s="1083"/>
      <c r="D224" s="1084"/>
      <c r="E224" s="1038" t="s">
        <v>773</v>
      </c>
      <c r="F224" s="1025"/>
      <c r="G224" s="1025"/>
      <c r="H224" s="1039"/>
    </row>
    <row r="225" spans="1:8" ht="14.25">
      <c r="A225" s="1082" t="s">
        <v>774</v>
      </c>
      <c r="B225" s="1083"/>
      <c r="C225" s="1083"/>
      <c r="D225" s="1084"/>
      <c r="E225" s="1038" t="s">
        <v>775</v>
      </c>
      <c r="F225" s="1025"/>
      <c r="G225" s="1025">
        <f>338+348</f>
        <v>686</v>
      </c>
      <c r="H225" s="1039"/>
    </row>
    <row r="226" spans="1:8" ht="14.25">
      <c r="A226" s="1082" t="s">
        <v>776</v>
      </c>
      <c r="B226" s="1083"/>
      <c r="C226" s="1083"/>
      <c r="D226" s="1084"/>
      <c r="E226" s="1038" t="s">
        <v>777</v>
      </c>
      <c r="F226" s="1025"/>
      <c r="G226" s="1025"/>
      <c r="H226" s="1039"/>
    </row>
    <row r="227" spans="1:8" ht="14.25">
      <c r="A227" s="1127" t="s">
        <v>778</v>
      </c>
      <c r="B227" s="1128"/>
      <c r="C227" s="1128"/>
      <c r="D227" s="1129"/>
      <c r="E227" s="1038" t="s">
        <v>779</v>
      </c>
      <c r="F227" s="1025"/>
      <c r="G227" s="1041"/>
      <c r="H227" s="1039"/>
    </row>
    <row r="228" spans="1:8" ht="14.25">
      <c r="A228" s="1082" t="s">
        <v>780</v>
      </c>
      <c r="B228" s="1083"/>
      <c r="C228" s="1083"/>
      <c r="D228" s="1084"/>
      <c r="E228" s="1038" t="s">
        <v>781</v>
      </c>
      <c r="F228" s="1025"/>
      <c r="G228" s="1025"/>
      <c r="H228" s="1039"/>
    </row>
    <row r="229" spans="1:8" ht="14.25">
      <c r="A229" s="1082" t="s">
        <v>782</v>
      </c>
      <c r="B229" s="1083"/>
      <c r="C229" s="1083"/>
      <c r="D229" s="1084"/>
      <c r="E229" s="1038" t="s">
        <v>783</v>
      </c>
      <c r="F229" s="1025"/>
      <c r="G229" s="1025"/>
      <c r="H229" s="1039"/>
    </row>
    <row r="230" spans="1:8" ht="14.25">
      <c r="A230" s="1082" t="s">
        <v>784</v>
      </c>
      <c r="B230" s="1083"/>
      <c r="C230" s="1083"/>
      <c r="D230" s="1084"/>
      <c r="E230" s="1038" t="s">
        <v>785</v>
      </c>
      <c r="F230" s="1025"/>
      <c r="G230" s="1025"/>
      <c r="H230" s="1039"/>
    </row>
    <row r="231" spans="1:8" ht="14.25">
      <c r="A231" s="1082" t="s">
        <v>786</v>
      </c>
      <c r="B231" s="1083"/>
      <c r="C231" s="1083"/>
      <c r="D231" s="1084"/>
      <c r="E231" s="1038" t="s">
        <v>787</v>
      </c>
      <c r="F231" s="1025"/>
      <c r="G231" s="1025"/>
      <c r="H231" s="1039"/>
    </row>
    <row r="232" spans="1:8" ht="14.25">
      <c r="A232" s="1082" t="s">
        <v>788</v>
      </c>
      <c r="B232" s="1083"/>
      <c r="C232" s="1083"/>
      <c r="D232" s="1084"/>
      <c r="E232" s="1038" t="s">
        <v>789</v>
      </c>
      <c r="F232" s="1025"/>
      <c r="G232" s="1025"/>
      <c r="H232" s="1039"/>
    </row>
    <row r="233" spans="1:8" ht="14.25">
      <c r="A233" s="1082" t="s">
        <v>790</v>
      </c>
      <c r="B233" s="1083"/>
      <c r="C233" s="1083"/>
      <c r="D233" s="1084"/>
      <c r="E233" s="1038" t="s">
        <v>791</v>
      </c>
      <c r="F233" s="1025"/>
      <c r="G233" s="1025"/>
      <c r="H233" s="1039"/>
    </row>
    <row r="234" spans="1:8" ht="14.25">
      <c r="A234" s="1082" t="s">
        <v>792</v>
      </c>
      <c r="B234" s="1083"/>
      <c r="C234" s="1083"/>
      <c r="D234" s="1084"/>
      <c r="E234" s="1038" t="s">
        <v>793</v>
      </c>
      <c r="F234" s="1025"/>
      <c r="G234" s="1025"/>
      <c r="H234" s="1039"/>
    </row>
    <row r="235" spans="1:8" ht="14.25">
      <c r="A235" s="1082" t="s">
        <v>794</v>
      </c>
      <c r="B235" s="1083"/>
      <c r="C235" s="1083"/>
      <c r="D235" s="1084"/>
      <c r="E235" s="1038" t="s">
        <v>795</v>
      </c>
      <c r="F235" s="1025"/>
      <c r="G235" s="1025"/>
      <c r="H235" s="1039"/>
    </row>
    <row r="236" spans="1:8" ht="14.25">
      <c r="A236" s="1082" t="s">
        <v>796</v>
      </c>
      <c r="B236" s="1083"/>
      <c r="C236" s="1083"/>
      <c r="D236" s="1084"/>
      <c r="E236" s="1038" t="s">
        <v>797</v>
      </c>
      <c r="F236" s="1025"/>
      <c r="G236" s="1025"/>
      <c r="H236" s="1039"/>
    </row>
    <row r="237" spans="1:8" ht="14.25">
      <c r="A237" s="1119" t="s">
        <v>798</v>
      </c>
      <c r="B237" s="1120"/>
      <c r="C237" s="1120"/>
      <c r="D237" s="1121"/>
      <c r="E237" s="1038" t="s">
        <v>799</v>
      </c>
      <c r="F237" s="1025"/>
      <c r="G237" s="1040">
        <f>SUM(G238:G240)</f>
        <v>36</v>
      </c>
      <c r="H237" s="1039"/>
    </row>
    <row r="238" spans="1:8" ht="14.25">
      <c r="A238" s="1082" t="s">
        <v>800</v>
      </c>
      <c r="B238" s="1083"/>
      <c r="C238" s="1083"/>
      <c r="D238" s="1084"/>
      <c r="E238" s="1038" t="s">
        <v>801</v>
      </c>
      <c r="F238" s="1025"/>
      <c r="G238" s="1025">
        <v>36</v>
      </c>
      <c r="H238" s="1039"/>
    </row>
    <row r="239" spans="1:8" ht="14.25">
      <c r="A239" s="1082" t="s">
        <v>802</v>
      </c>
      <c r="B239" s="1083"/>
      <c r="C239" s="1083"/>
      <c r="D239" s="1084"/>
      <c r="E239" s="1038" t="s">
        <v>803</v>
      </c>
      <c r="F239" s="1025"/>
      <c r="G239" s="1025"/>
      <c r="H239" s="1039"/>
    </row>
    <row r="240" spans="1:8" ht="14.25">
      <c r="A240" s="1082" t="s">
        <v>804</v>
      </c>
      <c r="B240" s="1083"/>
      <c r="C240" s="1083"/>
      <c r="D240" s="1084"/>
      <c r="E240" s="1038" t="s">
        <v>805</v>
      </c>
      <c r="F240" s="1025"/>
      <c r="G240" s="1025"/>
      <c r="H240" s="1039"/>
    </row>
    <row r="241" spans="1:8" ht="15">
      <c r="A241" s="984" t="s">
        <v>806</v>
      </c>
      <c r="B241" s="969"/>
      <c r="C241" s="969"/>
      <c r="D241" s="1074"/>
      <c r="E241" s="1038" t="s">
        <v>807</v>
      </c>
      <c r="F241" s="1025"/>
      <c r="G241" s="1002">
        <f>SUM(G242:G243,G248,G261:G263)</f>
        <v>114976</v>
      </c>
      <c r="H241" s="1039"/>
    </row>
    <row r="242" spans="1:8" ht="14.25">
      <c r="A242" s="1127" t="s">
        <v>808</v>
      </c>
      <c r="B242" s="1128"/>
      <c r="C242" s="1128"/>
      <c r="D242" s="1129"/>
      <c r="E242" s="1038" t="s">
        <v>809</v>
      </c>
      <c r="F242" s="1025"/>
      <c r="G242" s="1040">
        <v>42904</v>
      </c>
      <c r="H242" s="1039"/>
    </row>
    <row r="243" spans="1:8" ht="14.25">
      <c r="A243" s="1127" t="s">
        <v>810</v>
      </c>
      <c r="B243" s="1128"/>
      <c r="C243" s="1128"/>
      <c r="D243" s="1129"/>
      <c r="E243" s="1038" t="s">
        <v>811</v>
      </c>
      <c r="F243" s="1025"/>
      <c r="G243" s="1040">
        <f>SUM(G244:G247)</f>
        <v>43842</v>
      </c>
      <c r="H243" s="1039"/>
    </row>
    <row r="244" spans="1:8" ht="14.25">
      <c r="A244" s="1082" t="s">
        <v>812</v>
      </c>
      <c r="B244" s="1083"/>
      <c r="C244" s="1083"/>
      <c r="D244" s="1084"/>
      <c r="E244" s="1038" t="s">
        <v>813</v>
      </c>
      <c r="F244" s="1025"/>
      <c r="G244" s="1025">
        <v>17821</v>
      </c>
      <c r="H244" s="1039"/>
    </row>
    <row r="245" spans="1:8" ht="14.25">
      <c r="A245" s="1082" t="s">
        <v>814</v>
      </c>
      <c r="B245" s="1083"/>
      <c r="C245" s="1083"/>
      <c r="D245" s="1084"/>
      <c r="E245" s="1038" t="s">
        <v>815</v>
      </c>
      <c r="F245" s="1025"/>
      <c r="G245" s="1025">
        <v>12111</v>
      </c>
      <c r="H245" s="1039"/>
    </row>
    <row r="246" spans="1:8" ht="14.25">
      <c r="A246" s="1082" t="s">
        <v>816</v>
      </c>
      <c r="B246" s="1083"/>
      <c r="C246" s="1083"/>
      <c r="D246" s="1084"/>
      <c r="E246" s="1038" t="s">
        <v>817</v>
      </c>
      <c r="F246" s="1025"/>
      <c r="G246" s="1025"/>
      <c r="H246" s="1039"/>
    </row>
    <row r="247" spans="1:8" ht="14.25">
      <c r="A247" s="1082" t="s">
        <v>818</v>
      </c>
      <c r="B247" s="1083"/>
      <c r="C247" s="1083"/>
      <c r="D247" s="1084"/>
      <c r="E247" s="1038" t="s">
        <v>819</v>
      </c>
      <c r="F247" s="1025"/>
      <c r="G247" s="1025">
        <v>13910</v>
      </c>
      <c r="H247" s="1039"/>
    </row>
    <row r="248" spans="1:8" ht="14.25">
      <c r="A248" s="1127" t="s">
        <v>820</v>
      </c>
      <c r="B248" s="1128"/>
      <c r="C248" s="1128"/>
      <c r="D248" s="1129"/>
      <c r="E248" s="1038" t="s">
        <v>821</v>
      </c>
      <c r="F248" s="1025"/>
      <c r="G248" s="1040">
        <f>SUM(G249,G255)</f>
        <v>28230</v>
      </c>
      <c r="H248" s="1039"/>
    </row>
    <row r="249" spans="1:8" ht="14.25">
      <c r="A249" s="1082" t="s">
        <v>822</v>
      </c>
      <c r="B249" s="1083"/>
      <c r="C249" s="1083"/>
      <c r="D249" s="1084"/>
      <c r="E249" s="1038" t="s">
        <v>823</v>
      </c>
      <c r="F249" s="1025"/>
      <c r="G249" s="1025">
        <f>SUM(G250:G254)</f>
        <v>28230</v>
      </c>
      <c r="H249" s="1039"/>
    </row>
    <row r="250" spans="1:8" ht="14.25">
      <c r="A250" s="1082" t="s">
        <v>824</v>
      </c>
      <c r="B250" s="1083"/>
      <c r="C250" s="1083"/>
      <c r="D250" s="1084"/>
      <c r="E250" s="1038" t="s">
        <v>825</v>
      </c>
      <c r="F250" s="1025"/>
      <c r="G250" s="1025"/>
      <c r="H250" s="1039"/>
    </row>
    <row r="251" spans="1:8" ht="14.25">
      <c r="A251" s="1082" t="s">
        <v>826</v>
      </c>
      <c r="B251" s="1083"/>
      <c r="C251" s="1083"/>
      <c r="D251" s="1084"/>
      <c r="E251" s="1038" t="s">
        <v>827</v>
      </c>
      <c r="F251" s="1025"/>
      <c r="G251" s="1025"/>
      <c r="H251" s="1039"/>
    </row>
    <row r="252" spans="1:8" ht="14.25">
      <c r="A252" s="1082" t="s">
        <v>828</v>
      </c>
      <c r="B252" s="1083"/>
      <c r="C252" s="1083"/>
      <c r="D252" s="1084"/>
      <c r="E252" s="1038" t="s">
        <v>829</v>
      </c>
      <c r="F252" s="1025"/>
      <c r="G252" s="1025">
        <v>2662</v>
      </c>
      <c r="H252" s="1039"/>
    </row>
    <row r="253" spans="1:8" ht="14.25">
      <c r="A253" s="1082" t="s">
        <v>830</v>
      </c>
      <c r="B253" s="1083"/>
      <c r="C253" s="1083"/>
      <c r="D253" s="1084"/>
      <c r="E253" s="1038" t="s">
        <v>831</v>
      </c>
      <c r="F253" s="1025"/>
      <c r="G253" s="1025"/>
      <c r="H253" s="1039"/>
    </row>
    <row r="254" spans="1:8" ht="14.25">
      <c r="A254" s="1082" t="s">
        <v>832</v>
      </c>
      <c r="B254" s="1083"/>
      <c r="C254" s="1083"/>
      <c r="D254" s="1084"/>
      <c r="E254" s="1038" t="s">
        <v>833</v>
      </c>
      <c r="F254" s="1025"/>
      <c r="G254" s="1025">
        <v>25568</v>
      </c>
      <c r="H254" s="1039"/>
    </row>
    <row r="255" spans="1:8" ht="14.25">
      <c r="A255" s="1082" t="s">
        <v>834</v>
      </c>
      <c r="B255" s="1083"/>
      <c r="C255" s="1083"/>
      <c r="D255" s="1084"/>
      <c r="E255" s="1038" t="s">
        <v>835</v>
      </c>
      <c r="F255" s="1025"/>
      <c r="G255" s="1025"/>
      <c r="H255" s="1039"/>
    </row>
    <row r="256" spans="1:8" ht="14.25">
      <c r="A256" s="1082" t="s">
        <v>836</v>
      </c>
      <c r="B256" s="1083"/>
      <c r="C256" s="1083"/>
      <c r="D256" s="1084"/>
      <c r="E256" s="1038" t="s">
        <v>837</v>
      </c>
      <c r="F256" s="1025"/>
      <c r="G256" s="1025"/>
      <c r="H256" s="1039"/>
    </row>
    <row r="257" spans="1:8" ht="14.25">
      <c r="A257" s="1082" t="s">
        <v>838</v>
      </c>
      <c r="B257" s="1083"/>
      <c r="C257" s="1083"/>
      <c r="D257" s="1084"/>
      <c r="E257" s="1038" t="s">
        <v>839</v>
      </c>
      <c r="F257" s="1025"/>
      <c r="G257" s="1025"/>
      <c r="H257" s="1039"/>
    </row>
    <row r="258" spans="1:8" ht="14.25">
      <c r="A258" s="1082" t="s">
        <v>840</v>
      </c>
      <c r="B258" s="1083"/>
      <c r="C258" s="1083"/>
      <c r="D258" s="1084"/>
      <c r="E258" s="1038" t="s">
        <v>841</v>
      </c>
      <c r="F258" s="1025"/>
      <c r="G258" s="1025"/>
      <c r="H258" s="1039"/>
    </row>
    <row r="259" spans="1:8" ht="14.25">
      <c r="A259" s="1082" t="s">
        <v>842</v>
      </c>
      <c r="B259" s="1083"/>
      <c r="C259" s="1083"/>
      <c r="D259" s="1084"/>
      <c r="E259" s="1038" t="s">
        <v>843</v>
      </c>
      <c r="F259" s="1025"/>
      <c r="G259" s="1025"/>
      <c r="H259" s="1039"/>
    </row>
    <row r="260" spans="1:8" ht="14.25">
      <c r="A260" s="1082" t="s">
        <v>844</v>
      </c>
      <c r="B260" s="1083"/>
      <c r="C260" s="1083"/>
      <c r="D260" s="1084"/>
      <c r="E260" s="1038" t="s">
        <v>845</v>
      </c>
      <c r="F260" s="1025"/>
      <c r="G260" s="1025"/>
      <c r="H260" s="1039"/>
    </row>
    <row r="261" spans="1:8" ht="14.25">
      <c r="A261" s="1127" t="s">
        <v>846</v>
      </c>
      <c r="B261" s="1128"/>
      <c r="C261" s="1128"/>
      <c r="D261" s="1129"/>
      <c r="E261" s="1038" t="s">
        <v>847</v>
      </c>
      <c r="F261" s="1025"/>
      <c r="G261" s="1025"/>
      <c r="H261" s="1039"/>
    </row>
    <row r="262" spans="1:8" ht="14.25">
      <c r="A262" s="1127" t="s">
        <v>848</v>
      </c>
      <c r="B262" s="1128"/>
      <c r="C262" s="1128"/>
      <c r="D262" s="1129"/>
      <c r="E262" s="1038" t="s">
        <v>849</v>
      </c>
      <c r="F262" s="1025"/>
      <c r="G262" s="1025"/>
      <c r="H262" s="1039"/>
    </row>
    <row r="263" spans="1:8" ht="14.25">
      <c r="A263" s="1127" t="s">
        <v>850</v>
      </c>
      <c r="B263" s="1128"/>
      <c r="C263" s="1128"/>
      <c r="D263" s="1129"/>
      <c r="E263" s="1038" t="s">
        <v>851</v>
      </c>
      <c r="F263" s="1025"/>
      <c r="G263" s="1025"/>
      <c r="H263" s="1039"/>
    </row>
    <row r="264" spans="1:8" ht="14.25">
      <c r="A264" s="1082" t="s">
        <v>852</v>
      </c>
      <c r="B264" s="1083"/>
      <c r="C264" s="1083"/>
      <c r="D264" s="1084"/>
      <c r="E264" s="1038" t="s">
        <v>853</v>
      </c>
      <c r="F264" s="1025"/>
      <c r="G264" s="1025"/>
      <c r="H264" s="1039"/>
    </row>
    <row r="265" spans="1:8" ht="14.25">
      <c r="A265" s="1082" t="s">
        <v>854</v>
      </c>
      <c r="B265" s="1083"/>
      <c r="C265" s="1083"/>
      <c r="D265" s="1084"/>
      <c r="E265" s="1038" t="s">
        <v>855</v>
      </c>
      <c r="F265" s="1025"/>
      <c r="G265" s="1025"/>
      <c r="H265" s="1039"/>
    </row>
    <row r="266" spans="1:8" ht="15">
      <c r="A266" s="984" t="s">
        <v>856</v>
      </c>
      <c r="B266" s="969"/>
      <c r="C266" s="969"/>
      <c r="D266" s="1074"/>
      <c r="E266" s="1038" t="s">
        <v>857</v>
      </c>
      <c r="F266" s="1025"/>
      <c r="G266" s="1025"/>
      <c r="H266" s="1039"/>
    </row>
    <row r="267" spans="1:8" ht="14.25">
      <c r="A267" s="1127" t="s">
        <v>858</v>
      </c>
      <c r="B267" s="1128"/>
      <c r="C267" s="1128"/>
      <c r="D267" s="1129"/>
      <c r="E267" s="1038" t="s">
        <v>859</v>
      </c>
      <c r="F267" s="1025"/>
      <c r="G267" s="1025"/>
      <c r="H267" s="1039"/>
    </row>
    <row r="268" spans="1:8" ht="14.25">
      <c r="A268" s="1127" t="s">
        <v>860</v>
      </c>
      <c r="B268" s="1128"/>
      <c r="C268" s="1128"/>
      <c r="D268" s="1129"/>
      <c r="E268" s="1038" t="s">
        <v>861</v>
      </c>
      <c r="F268" s="1025"/>
      <c r="G268" s="1025"/>
      <c r="H268" s="1039"/>
    </row>
    <row r="269" spans="1:8" ht="14.25">
      <c r="A269" s="1127" t="s">
        <v>862</v>
      </c>
      <c r="B269" s="1128"/>
      <c r="C269" s="1128"/>
      <c r="D269" s="1129"/>
      <c r="E269" s="1038" t="s">
        <v>863</v>
      </c>
      <c r="F269" s="1025"/>
      <c r="G269" s="1025"/>
      <c r="H269" s="1039"/>
    </row>
    <row r="270" spans="1:8" ht="14.25">
      <c r="A270" s="1127" t="s">
        <v>864</v>
      </c>
      <c r="B270" s="1128"/>
      <c r="C270" s="1128"/>
      <c r="D270" s="1129"/>
      <c r="E270" s="1038" t="s">
        <v>865</v>
      </c>
      <c r="F270" s="1025"/>
      <c r="G270" s="1025"/>
      <c r="H270" s="1039"/>
    </row>
    <row r="271" spans="1:8" ht="14.25">
      <c r="A271" s="1127" t="s">
        <v>866</v>
      </c>
      <c r="B271" s="1128"/>
      <c r="C271" s="1128"/>
      <c r="D271" s="1129"/>
      <c r="E271" s="1038" t="s">
        <v>867</v>
      </c>
      <c r="F271" s="1025"/>
      <c r="G271" s="1025"/>
      <c r="H271" s="1039"/>
    </row>
    <row r="272" spans="1:8" ht="15.75" thickBot="1">
      <c r="A272" s="1116" t="s">
        <v>868</v>
      </c>
      <c r="B272" s="1117"/>
      <c r="C272" s="1117"/>
      <c r="D272" s="1118"/>
      <c r="E272" s="1042" t="s">
        <v>869</v>
      </c>
      <c r="F272" s="1043"/>
      <c r="G272" s="1044">
        <f>SUM(G282,G289,G298)</f>
        <v>46779</v>
      </c>
      <c r="H272" s="1045"/>
    </row>
    <row r="273" spans="1:8" ht="12.75">
      <c r="A273" s="985"/>
      <c r="B273" s="985"/>
      <c r="C273" s="985"/>
      <c r="D273" s="985"/>
      <c r="E273" s="985"/>
      <c r="F273" s="985"/>
      <c r="G273" s="985"/>
      <c r="H273" s="985"/>
    </row>
    <row r="274" spans="1:8" ht="12.75">
      <c r="A274" s="985"/>
      <c r="B274" s="985"/>
      <c r="C274" s="985"/>
      <c r="D274" s="985"/>
      <c r="E274" s="985"/>
      <c r="F274" s="985"/>
      <c r="G274" s="985"/>
      <c r="H274" s="985"/>
    </row>
    <row r="275" spans="1:8" ht="12.75">
      <c r="A275" s="985"/>
      <c r="B275" s="985"/>
      <c r="C275" s="985"/>
      <c r="D275" s="985"/>
      <c r="E275" s="985"/>
      <c r="F275" s="985"/>
      <c r="G275" s="985"/>
      <c r="H275" s="985"/>
    </row>
    <row r="276" spans="1:8" ht="12.75">
      <c r="A276" s="985"/>
      <c r="B276" s="985"/>
      <c r="C276" s="985"/>
      <c r="D276" s="985"/>
      <c r="E276" s="985"/>
      <c r="F276" s="985"/>
      <c r="G276" s="985"/>
      <c r="H276" s="987" t="s">
        <v>870</v>
      </c>
    </row>
    <row r="277" spans="1:8" ht="12.75">
      <c r="A277" s="985"/>
      <c r="B277" s="985"/>
      <c r="C277" s="985"/>
      <c r="D277" s="985"/>
      <c r="E277" s="985"/>
      <c r="F277" s="985"/>
      <c r="G277" s="985"/>
      <c r="H277" s="985"/>
    </row>
    <row r="278" spans="1:8" ht="13.5" thickBot="1">
      <c r="A278" s="985"/>
      <c r="B278" s="985"/>
      <c r="C278" s="985"/>
      <c r="D278" s="985"/>
      <c r="E278" s="985"/>
      <c r="F278" s="985"/>
      <c r="G278" s="985"/>
      <c r="H278" s="987" t="s">
        <v>1305</v>
      </c>
    </row>
    <row r="279" spans="1:8" ht="14.25" customHeight="1">
      <c r="A279" s="1097" t="s">
        <v>441</v>
      </c>
      <c r="B279" s="1098"/>
      <c r="C279" s="1098"/>
      <c r="D279" s="1099"/>
      <c r="E279" s="1103" t="s">
        <v>442</v>
      </c>
      <c r="F279" s="988" t="s">
        <v>443</v>
      </c>
      <c r="G279" s="988" t="s">
        <v>444</v>
      </c>
      <c r="H279" s="989" t="s">
        <v>445</v>
      </c>
    </row>
    <row r="280" spans="1:8" ht="14.25" customHeight="1">
      <c r="A280" s="1100"/>
      <c r="B280" s="1101"/>
      <c r="C280" s="1101"/>
      <c r="D280" s="1102"/>
      <c r="E280" s="1104"/>
      <c r="F280" s="1125" t="s">
        <v>446</v>
      </c>
      <c r="G280" s="1125"/>
      <c r="H280" s="1126"/>
    </row>
    <row r="281" spans="1:8" ht="13.5" thickBot="1">
      <c r="A281" s="1111">
        <v>1</v>
      </c>
      <c r="B281" s="1112"/>
      <c r="C281" s="1112"/>
      <c r="D281" s="1112"/>
      <c r="E281" s="995">
        <v>2</v>
      </c>
      <c r="F281" s="1046">
        <v>3</v>
      </c>
      <c r="G281" s="1046">
        <v>4</v>
      </c>
      <c r="H281" s="1047">
        <v>5</v>
      </c>
    </row>
    <row r="282" spans="1:8" ht="14.25">
      <c r="A282" s="1122" t="s">
        <v>871</v>
      </c>
      <c r="B282" s="1123"/>
      <c r="C282" s="1123"/>
      <c r="D282" s="1124"/>
      <c r="E282" s="1035" t="s">
        <v>872</v>
      </c>
      <c r="F282" s="1036"/>
      <c r="G282" s="1048">
        <f>SUM(G283,G286:G287,G288)</f>
        <v>275</v>
      </c>
      <c r="H282" s="1037"/>
    </row>
    <row r="283" spans="1:8" ht="14.25">
      <c r="A283" s="1082" t="s">
        <v>873</v>
      </c>
      <c r="B283" s="1083"/>
      <c r="C283" s="1083"/>
      <c r="D283" s="1084"/>
      <c r="E283" s="1038" t="s">
        <v>874</v>
      </c>
      <c r="F283" s="1025"/>
      <c r="G283" s="1025">
        <f>SUM(G284:G285)</f>
        <v>275</v>
      </c>
      <c r="H283" s="1039"/>
    </row>
    <row r="284" spans="1:8" ht="14.25">
      <c r="A284" s="1082" t="s">
        <v>875</v>
      </c>
      <c r="B284" s="1083"/>
      <c r="C284" s="1083"/>
      <c r="D284" s="1084"/>
      <c r="E284" s="1038" t="s">
        <v>876</v>
      </c>
      <c r="F284" s="1025"/>
      <c r="G284" s="1025">
        <v>275</v>
      </c>
      <c r="H284" s="1039"/>
    </row>
    <row r="285" spans="1:8" ht="14.25">
      <c r="A285" s="1082" t="s">
        <v>877</v>
      </c>
      <c r="B285" s="1083"/>
      <c r="C285" s="1083"/>
      <c r="D285" s="1084"/>
      <c r="E285" s="1038" t="s">
        <v>878</v>
      </c>
      <c r="F285" s="1025"/>
      <c r="G285" s="1025"/>
      <c r="H285" s="1039"/>
    </row>
    <row r="286" spans="1:8" ht="14.25">
      <c r="A286" s="1082" t="s">
        <v>879</v>
      </c>
      <c r="B286" s="1083"/>
      <c r="C286" s="1083"/>
      <c r="D286" s="1084"/>
      <c r="E286" s="1038" t="s">
        <v>880</v>
      </c>
      <c r="F286" s="1025"/>
      <c r="G286" s="1025"/>
      <c r="H286" s="1039"/>
    </row>
    <row r="287" spans="1:8" ht="14.25">
      <c r="A287" s="1082" t="s">
        <v>881</v>
      </c>
      <c r="B287" s="1083"/>
      <c r="C287" s="1083"/>
      <c r="D287" s="1084"/>
      <c r="E287" s="1038" t="s">
        <v>882</v>
      </c>
      <c r="F287" s="1025"/>
      <c r="G287" s="1025"/>
      <c r="H287" s="1039"/>
    </row>
    <row r="288" spans="1:8" ht="14.25">
      <c r="A288" s="1082" t="s">
        <v>883</v>
      </c>
      <c r="B288" s="1083"/>
      <c r="C288" s="1083"/>
      <c r="D288" s="1084"/>
      <c r="E288" s="1038" t="s">
        <v>884</v>
      </c>
      <c r="F288" s="1025"/>
      <c r="G288" s="1025"/>
      <c r="H288" s="1039"/>
    </row>
    <row r="289" spans="1:8" ht="14.25">
      <c r="A289" s="1119" t="s">
        <v>885</v>
      </c>
      <c r="B289" s="1120"/>
      <c r="C289" s="1120"/>
      <c r="D289" s="1121"/>
      <c r="E289" s="1038" t="s">
        <v>886</v>
      </c>
      <c r="F289" s="1025"/>
      <c r="G289" s="1024">
        <f>SUM(G290:G297)</f>
        <v>45928</v>
      </c>
      <c r="H289" s="1039"/>
    </row>
    <row r="290" spans="1:8" ht="14.25">
      <c r="A290" s="1082" t="s">
        <v>887</v>
      </c>
      <c r="B290" s="1083"/>
      <c r="C290" s="1083"/>
      <c r="D290" s="1084"/>
      <c r="E290" s="1038" t="s">
        <v>888</v>
      </c>
      <c r="F290" s="1025"/>
      <c r="G290" s="1025">
        <v>45928</v>
      </c>
      <c r="H290" s="1039"/>
    </row>
    <row r="291" spans="1:8" ht="14.25">
      <c r="A291" s="1082" t="s">
        <v>889</v>
      </c>
      <c r="B291" s="1083"/>
      <c r="C291" s="1083"/>
      <c r="D291" s="1084"/>
      <c r="E291" s="1038" t="s">
        <v>890</v>
      </c>
      <c r="F291" s="1025"/>
      <c r="G291" s="1025"/>
      <c r="H291" s="1039"/>
    </row>
    <row r="292" spans="1:8" ht="14.25">
      <c r="A292" s="1082" t="s">
        <v>891</v>
      </c>
      <c r="B292" s="1083"/>
      <c r="C292" s="1083"/>
      <c r="D292" s="1084"/>
      <c r="E292" s="1038" t="s">
        <v>892</v>
      </c>
      <c r="F292" s="1025"/>
      <c r="G292" s="1025"/>
      <c r="H292" s="1039"/>
    </row>
    <row r="293" spans="1:8" ht="14.25">
      <c r="A293" s="1082" t="s">
        <v>893</v>
      </c>
      <c r="B293" s="1083"/>
      <c r="C293" s="1083"/>
      <c r="D293" s="1084"/>
      <c r="E293" s="1038" t="s">
        <v>894</v>
      </c>
      <c r="F293" s="1025"/>
      <c r="G293" s="1025"/>
      <c r="H293" s="1039"/>
    </row>
    <row r="294" spans="1:8" ht="14.25">
      <c r="A294" s="1082" t="s">
        <v>895</v>
      </c>
      <c r="B294" s="1083"/>
      <c r="C294" s="1083"/>
      <c r="D294" s="1084"/>
      <c r="E294" s="1038" t="s">
        <v>896</v>
      </c>
      <c r="F294" s="1025"/>
      <c r="G294" s="1025"/>
      <c r="H294" s="1039"/>
    </row>
    <row r="295" spans="1:8" ht="14.25">
      <c r="A295" s="1082" t="s">
        <v>897</v>
      </c>
      <c r="B295" s="1083"/>
      <c r="C295" s="1083"/>
      <c r="D295" s="1084"/>
      <c r="E295" s="1038" t="s">
        <v>898</v>
      </c>
      <c r="F295" s="1025"/>
      <c r="G295" s="1025"/>
      <c r="H295" s="1039"/>
    </row>
    <row r="296" spans="1:8" ht="14.25">
      <c r="A296" s="1082" t="s">
        <v>899</v>
      </c>
      <c r="B296" s="1083"/>
      <c r="C296" s="1083"/>
      <c r="D296" s="1084"/>
      <c r="E296" s="1038" t="s">
        <v>900</v>
      </c>
      <c r="F296" s="1025"/>
      <c r="G296" s="1025"/>
      <c r="H296" s="1039"/>
    </row>
    <row r="297" spans="1:8" ht="14.25">
      <c r="A297" s="1082" t="s">
        <v>901</v>
      </c>
      <c r="B297" s="1083"/>
      <c r="C297" s="1083"/>
      <c r="D297" s="1084"/>
      <c r="E297" s="1038" t="s">
        <v>902</v>
      </c>
      <c r="F297" s="1025"/>
      <c r="G297" s="1025"/>
      <c r="H297" s="1039"/>
    </row>
    <row r="298" spans="1:8" ht="14.25">
      <c r="A298" s="1119" t="s">
        <v>903</v>
      </c>
      <c r="B298" s="1120"/>
      <c r="C298" s="1120"/>
      <c r="D298" s="1121"/>
      <c r="E298" s="1038" t="s">
        <v>904</v>
      </c>
      <c r="F298" s="1025"/>
      <c r="G298" s="1024">
        <f>SUM(G299:G306)</f>
        <v>576</v>
      </c>
      <c r="H298" s="1039"/>
    </row>
    <row r="299" spans="1:8" ht="14.25">
      <c r="A299" s="1082" t="s">
        <v>905</v>
      </c>
      <c r="B299" s="1083"/>
      <c r="C299" s="1083"/>
      <c r="D299" s="1084"/>
      <c r="E299" s="1038" t="s">
        <v>906</v>
      </c>
      <c r="F299" s="1025"/>
      <c r="G299" s="1025"/>
      <c r="H299" s="1039"/>
    </row>
    <row r="300" spans="1:8" ht="14.25">
      <c r="A300" s="1082" t="s">
        <v>907</v>
      </c>
      <c r="B300" s="1083"/>
      <c r="C300" s="1083"/>
      <c r="D300" s="1084"/>
      <c r="E300" s="1038" t="s">
        <v>908</v>
      </c>
      <c r="F300" s="1025"/>
      <c r="G300" s="1025"/>
      <c r="H300" s="1039"/>
    </row>
    <row r="301" spans="1:8" ht="14.25">
      <c r="A301" s="1082" t="s">
        <v>909</v>
      </c>
      <c r="B301" s="1083"/>
      <c r="C301" s="1083"/>
      <c r="D301" s="1084"/>
      <c r="E301" s="1038" t="s">
        <v>910</v>
      </c>
      <c r="F301" s="1025"/>
      <c r="G301" s="1025"/>
      <c r="H301" s="1039"/>
    </row>
    <row r="302" spans="1:8" ht="14.25">
      <c r="A302" s="1082" t="s">
        <v>911</v>
      </c>
      <c r="B302" s="1083"/>
      <c r="C302" s="1083"/>
      <c r="D302" s="1084"/>
      <c r="E302" s="1038" t="s">
        <v>912</v>
      </c>
      <c r="F302" s="1025"/>
      <c r="G302" s="1025"/>
      <c r="H302" s="1039"/>
    </row>
    <row r="303" spans="1:8" ht="14.25">
      <c r="A303" s="1082" t="s">
        <v>913</v>
      </c>
      <c r="B303" s="1083"/>
      <c r="C303" s="1083"/>
      <c r="D303" s="1084"/>
      <c r="E303" s="1038" t="s">
        <v>914</v>
      </c>
      <c r="F303" s="1025"/>
      <c r="G303" s="1025"/>
      <c r="H303" s="1039"/>
    </row>
    <row r="304" spans="1:8" ht="14.25">
      <c r="A304" s="1082" t="s">
        <v>915</v>
      </c>
      <c r="B304" s="1083"/>
      <c r="C304" s="1083"/>
      <c r="D304" s="1084"/>
      <c r="E304" s="1038" t="s">
        <v>916</v>
      </c>
      <c r="F304" s="1025"/>
      <c r="G304" s="1025"/>
      <c r="H304" s="1039"/>
    </row>
    <row r="305" spans="1:8" ht="14.25">
      <c r="A305" s="1082" t="s">
        <v>917</v>
      </c>
      <c r="B305" s="1083"/>
      <c r="C305" s="1083"/>
      <c r="D305" s="1084"/>
      <c r="E305" s="1038" t="s">
        <v>918</v>
      </c>
      <c r="F305" s="1025"/>
      <c r="G305" s="1025"/>
      <c r="H305" s="1039"/>
    </row>
    <row r="306" spans="1:8" ht="14.25">
      <c r="A306" s="1082" t="s">
        <v>919</v>
      </c>
      <c r="B306" s="1083"/>
      <c r="C306" s="1083"/>
      <c r="D306" s="1084"/>
      <c r="E306" s="1038" t="s">
        <v>920</v>
      </c>
      <c r="F306" s="1025"/>
      <c r="G306" s="1025">
        <v>576</v>
      </c>
      <c r="H306" s="1039"/>
    </row>
    <row r="307" spans="1:8" ht="15">
      <c r="A307" s="984" t="s">
        <v>921</v>
      </c>
      <c r="B307" s="969"/>
      <c r="C307" s="969"/>
      <c r="D307" s="1074"/>
      <c r="E307" s="1038" t="s">
        <v>922</v>
      </c>
      <c r="F307" s="1025"/>
      <c r="G307" s="1002">
        <v>193382</v>
      </c>
      <c r="H307" s="1039"/>
    </row>
    <row r="308" spans="1:8" ht="15">
      <c r="A308" s="984" t="s">
        <v>923</v>
      </c>
      <c r="B308" s="969"/>
      <c r="C308" s="969"/>
      <c r="D308" s="1074"/>
      <c r="E308" s="1038" t="s">
        <v>924</v>
      </c>
      <c r="F308" s="1025"/>
      <c r="G308" s="1022">
        <f>SUM(G218,G241,G266,G272,G307)</f>
        <v>358128</v>
      </c>
      <c r="H308" s="1039"/>
    </row>
    <row r="309" spans="1:8" ht="16.5" thickBot="1">
      <c r="A309" s="1116" t="s">
        <v>925</v>
      </c>
      <c r="B309" s="1117"/>
      <c r="C309" s="1117"/>
      <c r="D309" s="1118"/>
      <c r="E309" s="1042" t="s">
        <v>926</v>
      </c>
      <c r="F309" s="1043"/>
      <c r="G309" s="1049">
        <f>SUM(G308,G217)</f>
        <v>5406938</v>
      </c>
      <c r="H309" s="1045"/>
    </row>
    <row r="310" spans="1:8" ht="12.75">
      <c r="A310" s="985"/>
      <c r="B310" s="985"/>
      <c r="C310" s="985"/>
      <c r="D310" s="985"/>
      <c r="E310" s="985"/>
      <c r="F310" s="985"/>
      <c r="G310" s="985"/>
      <c r="H310" s="985"/>
    </row>
    <row r="311" spans="1:8" ht="12.75">
      <c r="A311" s="985"/>
      <c r="B311" s="985"/>
      <c r="C311" s="985"/>
      <c r="D311" s="985"/>
      <c r="E311" s="985"/>
      <c r="F311" s="985"/>
      <c r="G311" s="985"/>
      <c r="H311" s="985"/>
    </row>
    <row r="312" spans="1:8" ht="13.5" thickBot="1">
      <c r="A312" s="985"/>
      <c r="B312" s="985"/>
      <c r="C312" s="985"/>
      <c r="D312" s="985"/>
      <c r="E312" s="985"/>
      <c r="F312" s="985"/>
      <c r="G312" s="985"/>
      <c r="H312" s="987" t="s">
        <v>1305</v>
      </c>
    </row>
    <row r="313" spans="1:8" ht="12.75" customHeight="1">
      <c r="A313" s="1097" t="s">
        <v>927</v>
      </c>
      <c r="B313" s="1098"/>
      <c r="C313" s="1098"/>
      <c r="D313" s="1099"/>
      <c r="E313" s="1103" t="s">
        <v>442</v>
      </c>
      <c r="F313" s="1105" t="s">
        <v>928</v>
      </c>
      <c r="G313" s="1106"/>
      <c r="H313" s="1107"/>
    </row>
    <row r="314" spans="1:8" ht="12.75" customHeight="1">
      <c r="A314" s="1100"/>
      <c r="B314" s="1101"/>
      <c r="C314" s="1101"/>
      <c r="D314" s="1102"/>
      <c r="E314" s="1104"/>
      <c r="F314" s="1108"/>
      <c r="G314" s="1109"/>
      <c r="H314" s="1110"/>
    </row>
    <row r="315" spans="1:8" ht="13.5" thickBot="1">
      <c r="A315" s="1111">
        <v>1</v>
      </c>
      <c r="B315" s="1112"/>
      <c r="C315" s="1112"/>
      <c r="D315" s="1112"/>
      <c r="E315" s="995">
        <v>2</v>
      </c>
      <c r="F315" s="1113">
        <v>3</v>
      </c>
      <c r="G315" s="1114"/>
      <c r="H315" s="1115"/>
    </row>
    <row r="316" spans="1:8" ht="14.25">
      <c r="A316" s="1092" t="s">
        <v>929</v>
      </c>
      <c r="B316" s="1093"/>
      <c r="C316" s="1093"/>
      <c r="D316" s="1094"/>
      <c r="E316" s="1035" t="s">
        <v>448</v>
      </c>
      <c r="F316" s="1095">
        <v>259997</v>
      </c>
      <c r="G316" s="1095"/>
      <c r="H316" s="1096"/>
    </row>
    <row r="317" spans="1:8" ht="14.25">
      <c r="A317" s="1082" t="s">
        <v>930</v>
      </c>
      <c r="B317" s="1083"/>
      <c r="C317" s="1083"/>
      <c r="D317" s="1084"/>
      <c r="E317" s="1038" t="s">
        <v>450</v>
      </c>
      <c r="F317" s="1085">
        <v>4344893</v>
      </c>
      <c r="G317" s="1085"/>
      <c r="H317" s="1086"/>
    </row>
    <row r="318" spans="1:8" ht="14.25">
      <c r="A318" s="1082" t="s">
        <v>931</v>
      </c>
      <c r="B318" s="1083"/>
      <c r="C318" s="1083"/>
      <c r="D318" s="1084"/>
      <c r="E318" s="1038" t="s">
        <v>452</v>
      </c>
      <c r="F318" s="1085"/>
      <c r="G318" s="1085"/>
      <c r="H318" s="1086"/>
    </row>
    <row r="319" spans="1:8" ht="15">
      <c r="A319" s="984" t="s">
        <v>932</v>
      </c>
      <c r="B319" s="969"/>
      <c r="C319" s="969"/>
      <c r="D319" s="1074"/>
      <c r="E319" s="1038" t="s">
        <v>454</v>
      </c>
      <c r="F319" s="1075">
        <f>SUM(F316:H318)</f>
        <v>4604890</v>
      </c>
      <c r="G319" s="1075"/>
      <c r="H319" s="1076"/>
    </row>
    <row r="320" spans="1:8" ht="14.25">
      <c r="A320" s="1087" t="s">
        <v>933</v>
      </c>
      <c r="B320" s="1088"/>
      <c r="C320" s="1088"/>
      <c r="D320" s="1089"/>
      <c r="E320" s="1038" t="s">
        <v>456</v>
      </c>
      <c r="F320" s="1090">
        <f>SUM(F321:H322)</f>
        <v>21570</v>
      </c>
      <c r="G320" s="1090"/>
      <c r="H320" s="1091"/>
    </row>
    <row r="321" spans="1:8" ht="14.25">
      <c r="A321" s="1082" t="s">
        <v>934</v>
      </c>
      <c r="B321" s="1083"/>
      <c r="C321" s="1083"/>
      <c r="D321" s="1084"/>
      <c r="E321" s="1038" t="s">
        <v>458</v>
      </c>
      <c r="F321" s="1085">
        <v>26835</v>
      </c>
      <c r="G321" s="1085"/>
      <c r="H321" s="1086"/>
    </row>
    <row r="322" spans="1:8" ht="14.25">
      <c r="A322" s="1082" t="s">
        <v>935</v>
      </c>
      <c r="B322" s="1083"/>
      <c r="C322" s="1083"/>
      <c r="D322" s="1084"/>
      <c r="E322" s="1038" t="s">
        <v>460</v>
      </c>
      <c r="F322" s="1085">
        <v>-5265</v>
      </c>
      <c r="G322" s="1085"/>
      <c r="H322" s="1086"/>
    </row>
    <row r="323" spans="1:8" ht="15">
      <c r="A323" s="1087" t="s">
        <v>936</v>
      </c>
      <c r="B323" s="1088"/>
      <c r="C323" s="1088"/>
      <c r="D323" s="1089"/>
      <c r="E323" s="1038" t="s">
        <v>462</v>
      </c>
      <c r="F323" s="1075"/>
      <c r="G323" s="1075"/>
      <c r="H323" s="1076"/>
    </row>
    <row r="324" spans="1:8" ht="14.25">
      <c r="A324" s="1082" t="s">
        <v>937</v>
      </c>
      <c r="B324" s="1083"/>
      <c r="C324" s="1083"/>
      <c r="D324" s="1084"/>
      <c r="E324" s="1038" t="s">
        <v>464</v>
      </c>
      <c r="F324" s="1085"/>
      <c r="G324" s="1085"/>
      <c r="H324" s="1086"/>
    </row>
    <row r="325" spans="1:8" ht="14.25">
      <c r="A325" s="1082" t="s">
        <v>938</v>
      </c>
      <c r="B325" s="1083"/>
      <c r="C325" s="1083"/>
      <c r="D325" s="1084"/>
      <c r="E325" s="1038" t="s">
        <v>1176</v>
      </c>
      <c r="F325" s="1085"/>
      <c r="G325" s="1085"/>
      <c r="H325" s="1086"/>
    </row>
    <row r="326" spans="1:8" ht="15">
      <c r="A326" s="984" t="s">
        <v>939</v>
      </c>
      <c r="B326" s="969"/>
      <c r="C326" s="969"/>
      <c r="D326" s="1074"/>
      <c r="E326" s="1038" t="s">
        <v>1178</v>
      </c>
      <c r="F326" s="1075">
        <f>SUM(F320,F323)</f>
        <v>21570</v>
      </c>
      <c r="G326" s="1075"/>
      <c r="H326" s="1076"/>
    </row>
    <row r="327" spans="1:8" ht="14.25">
      <c r="A327" s="1087" t="s">
        <v>940</v>
      </c>
      <c r="B327" s="1088"/>
      <c r="C327" s="1088"/>
      <c r="D327" s="1089"/>
      <c r="E327" s="1038" t="s">
        <v>1181</v>
      </c>
      <c r="F327" s="1090">
        <f>SUM(F328:H331)</f>
        <v>409448</v>
      </c>
      <c r="G327" s="1090"/>
      <c r="H327" s="1091"/>
    </row>
    <row r="328" spans="1:8" ht="14.25">
      <c r="A328" s="1082" t="s">
        <v>941</v>
      </c>
      <c r="B328" s="1083"/>
      <c r="C328" s="1083"/>
      <c r="D328" s="1084"/>
      <c r="E328" s="1038" t="s">
        <v>1184</v>
      </c>
      <c r="F328" s="1085"/>
      <c r="G328" s="1085"/>
      <c r="H328" s="1086"/>
    </row>
    <row r="329" spans="1:8" ht="14.25">
      <c r="A329" s="1082" t="s">
        <v>942</v>
      </c>
      <c r="B329" s="1083"/>
      <c r="C329" s="1083"/>
      <c r="D329" s="1084"/>
      <c r="E329" s="1038" t="s">
        <v>1319</v>
      </c>
      <c r="F329" s="1085">
        <v>377714</v>
      </c>
      <c r="G329" s="1085"/>
      <c r="H329" s="1086"/>
    </row>
    <row r="330" spans="1:8" ht="14.25">
      <c r="A330" s="1082" t="s">
        <v>943</v>
      </c>
      <c r="B330" s="1083"/>
      <c r="C330" s="1083"/>
      <c r="D330" s="1084"/>
      <c r="E330" s="1038" t="s">
        <v>1321</v>
      </c>
      <c r="F330" s="1085">
        <v>31734</v>
      </c>
      <c r="G330" s="1085"/>
      <c r="H330" s="1086"/>
    </row>
    <row r="331" spans="1:8" ht="14.25">
      <c r="A331" s="1082" t="s">
        <v>944</v>
      </c>
      <c r="B331" s="1083"/>
      <c r="C331" s="1083"/>
      <c r="D331" s="1084"/>
      <c r="E331" s="1038" t="s">
        <v>1188</v>
      </c>
      <c r="F331" s="1085"/>
      <c r="G331" s="1085"/>
      <c r="H331" s="1086"/>
    </row>
    <row r="332" spans="1:8" ht="14.25">
      <c r="A332" s="1087" t="s">
        <v>945</v>
      </c>
      <c r="B332" s="1088"/>
      <c r="C332" s="1088"/>
      <c r="D332" s="1089"/>
      <c r="E332" s="1038" t="s">
        <v>1324</v>
      </c>
      <c r="F332" s="1090">
        <f>SUM(F333:H336)</f>
        <v>344753</v>
      </c>
      <c r="G332" s="1090"/>
      <c r="H332" s="1091"/>
    </row>
    <row r="333" spans="1:8" ht="14.25">
      <c r="A333" s="1082" t="s">
        <v>946</v>
      </c>
      <c r="B333" s="1083"/>
      <c r="C333" s="1083"/>
      <c r="D333" s="1084"/>
      <c r="E333" s="1038" t="s">
        <v>1326</v>
      </c>
      <c r="F333" s="1085"/>
      <c r="G333" s="1085"/>
      <c r="H333" s="1086"/>
    </row>
    <row r="334" spans="1:8" ht="14.25">
      <c r="A334" s="1082" t="s">
        <v>947</v>
      </c>
      <c r="B334" s="1083"/>
      <c r="C334" s="1083"/>
      <c r="D334" s="1084"/>
      <c r="E334" s="1038" t="s">
        <v>1327</v>
      </c>
      <c r="F334" s="1085">
        <v>192314</v>
      </c>
      <c r="G334" s="1085"/>
      <c r="H334" s="1086"/>
    </row>
    <row r="335" spans="1:8" ht="14.25">
      <c r="A335" s="1082" t="s">
        <v>948</v>
      </c>
      <c r="B335" s="1083"/>
      <c r="C335" s="1083"/>
      <c r="D335" s="1084"/>
      <c r="E335" s="1038" t="s">
        <v>1329</v>
      </c>
      <c r="F335" s="1085">
        <v>51854</v>
      </c>
      <c r="G335" s="1085"/>
      <c r="H335" s="1086"/>
    </row>
    <row r="336" spans="1:8" ht="14.25">
      <c r="A336" s="1082" t="s">
        <v>949</v>
      </c>
      <c r="B336" s="1083"/>
      <c r="C336" s="1083"/>
      <c r="D336" s="1084"/>
      <c r="E336" s="1038" t="s">
        <v>1331</v>
      </c>
      <c r="F336" s="1085">
        <f>SUM(F337:H340)</f>
        <v>100585</v>
      </c>
      <c r="G336" s="1085"/>
      <c r="H336" s="1086"/>
    </row>
    <row r="337" spans="1:8" ht="14.25">
      <c r="A337" s="1082" t="s">
        <v>950</v>
      </c>
      <c r="B337" s="1083"/>
      <c r="C337" s="1083"/>
      <c r="D337" s="1084"/>
      <c r="E337" s="1038" t="s">
        <v>1333</v>
      </c>
      <c r="F337" s="1085">
        <v>70537</v>
      </c>
      <c r="G337" s="1085"/>
      <c r="H337" s="1086"/>
    </row>
    <row r="338" spans="1:8" ht="14.25">
      <c r="A338" s="1082" t="s">
        <v>951</v>
      </c>
      <c r="B338" s="1083"/>
      <c r="C338" s="1083"/>
      <c r="D338" s="1084"/>
      <c r="E338" s="1038" t="s">
        <v>1335</v>
      </c>
      <c r="F338" s="1085">
        <v>22112</v>
      </c>
      <c r="G338" s="1085"/>
      <c r="H338" s="1086"/>
    </row>
    <row r="339" spans="1:8" ht="14.25">
      <c r="A339" s="1082" t="s">
        <v>952</v>
      </c>
      <c r="B339" s="1083"/>
      <c r="C339" s="1083"/>
      <c r="D339" s="1084"/>
      <c r="E339" s="1038" t="s">
        <v>1337</v>
      </c>
      <c r="F339" s="1085">
        <v>7934</v>
      </c>
      <c r="G339" s="1085"/>
      <c r="H339" s="1086"/>
    </row>
    <row r="340" spans="1:8" ht="14.25">
      <c r="A340" s="1082" t="s">
        <v>953</v>
      </c>
      <c r="B340" s="1083"/>
      <c r="C340" s="1083"/>
      <c r="D340" s="1084"/>
      <c r="E340" s="1038" t="s">
        <v>1339</v>
      </c>
      <c r="F340" s="1085">
        <v>2</v>
      </c>
      <c r="G340" s="1085"/>
      <c r="H340" s="1086"/>
    </row>
    <row r="341" spans="1:8" ht="14.25">
      <c r="A341" s="1087" t="s">
        <v>954</v>
      </c>
      <c r="B341" s="1088"/>
      <c r="C341" s="1088"/>
      <c r="D341" s="1089"/>
      <c r="E341" s="1038" t="s">
        <v>1340</v>
      </c>
      <c r="F341" s="1090">
        <v>26277</v>
      </c>
      <c r="G341" s="1090"/>
      <c r="H341" s="1091"/>
    </row>
    <row r="342" spans="1:8" ht="15">
      <c r="A342" s="984" t="s">
        <v>955</v>
      </c>
      <c r="B342" s="969"/>
      <c r="C342" s="969"/>
      <c r="D342" s="1074"/>
      <c r="E342" s="1038" t="s">
        <v>1341</v>
      </c>
      <c r="F342" s="1075">
        <f>SUM(F327,F332,F341)</f>
        <v>780478</v>
      </c>
      <c r="G342" s="1075"/>
      <c r="H342" s="1076"/>
    </row>
    <row r="343" spans="1:8" ht="16.5" thickBot="1">
      <c r="A343" s="1077" t="s">
        <v>956</v>
      </c>
      <c r="B343" s="1078"/>
      <c r="C343" s="1078"/>
      <c r="D343" s="1079"/>
      <c r="E343" s="1042" t="s">
        <v>1343</v>
      </c>
      <c r="F343" s="1080">
        <f>SUM(F319,F326,F342)</f>
        <v>5406938</v>
      </c>
      <c r="G343" s="1080"/>
      <c r="H343" s="1081"/>
    </row>
  </sheetData>
  <mergeCells count="345">
    <mergeCell ref="G1:H1"/>
    <mergeCell ref="A3:H4"/>
    <mergeCell ref="A5:H5"/>
    <mergeCell ref="A6:H6"/>
    <mergeCell ref="A9:D10"/>
    <mergeCell ref="E9:E10"/>
    <mergeCell ref="F10:H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74:D75"/>
    <mergeCell ref="E74:E75"/>
    <mergeCell ref="F75:H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44:D145"/>
    <mergeCell ref="E144:E145"/>
    <mergeCell ref="F145:H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8:D209"/>
    <mergeCell ref="E208:E209"/>
    <mergeCell ref="F209:H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9:D280"/>
    <mergeCell ref="E279:E280"/>
    <mergeCell ref="F280:H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D300"/>
    <mergeCell ref="A301:D301"/>
    <mergeCell ref="A302:D302"/>
    <mergeCell ref="A303:D303"/>
    <mergeCell ref="A304:D304"/>
    <mergeCell ref="A305:D305"/>
    <mergeCell ref="A306:D306"/>
    <mergeCell ref="A307:D307"/>
    <mergeCell ref="A308:D308"/>
    <mergeCell ref="A309:D309"/>
    <mergeCell ref="A313:D314"/>
    <mergeCell ref="E313:E314"/>
    <mergeCell ref="F313:H314"/>
    <mergeCell ref="A315:D315"/>
    <mergeCell ref="F315:H315"/>
    <mergeCell ref="A316:D316"/>
    <mergeCell ref="F316:H316"/>
    <mergeCell ref="A317:D317"/>
    <mergeCell ref="F317:H317"/>
    <mergeCell ref="A318:D318"/>
    <mergeCell ref="F318:H318"/>
    <mergeCell ref="A319:D319"/>
    <mergeCell ref="F319:H319"/>
    <mergeCell ref="A320:D320"/>
    <mergeCell ref="F320:H320"/>
    <mergeCell ref="A321:D321"/>
    <mergeCell ref="F321:H321"/>
    <mergeCell ref="A322:D322"/>
    <mergeCell ref="F322:H322"/>
    <mergeCell ref="A323:D323"/>
    <mergeCell ref="F323:H323"/>
    <mergeCell ref="A324:D324"/>
    <mergeCell ref="F324:H324"/>
    <mergeCell ref="A325:D325"/>
    <mergeCell ref="F325:H325"/>
    <mergeCell ref="A326:D326"/>
    <mergeCell ref="F326:H326"/>
    <mergeCell ref="A327:D327"/>
    <mergeCell ref="F327:H327"/>
    <mergeCell ref="A328:D328"/>
    <mergeCell ref="F328:H328"/>
    <mergeCell ref="A329:D329"/>
    <mergeCell ref="F329:H329"/>
    <mergeCell ref="A330:D330"/>
    <mergeCell ref="F330:H330"/>
    <mergeCell ref="A331:D331"/>
    <mergeCell ref="F331:H331"/>
    <mergeCell ref="A332:D332"/>
    <mergeCell ref="F332:H332"/>
    <mergeCell ref="A333:D333"/>
    <mergeCell ref="F333:H333"/>
    <mergeCell ref="A334:D334"/>
    <mergeCell ref="F334:H334"/>
    <mergeCell ref="A335:D335"/>
    <mergeCell ref="F335:H335"/>
    <mergeCell ref="A336:D336"/>
    <mergeCell ref="F336:H336"/>
    <mergeCell ref="A337:D337"/>
    <mergeCell ref="F337:H337"/>
    <mergeCell ref="A338:D338"/>
    <mergeCell ref="F338:H338"/>
    <mergeCell ref="A339:D339"/>
    <mergeCell ref="F339:H339"/>
    <mergeCell ref="A340:D340"/>
    <mergeCell ref="F340:H340"/>
    <mergeCell ref="A341:D341"/>
    <mergeCell ref="F341:H341"/>
    <mergeCell ref="A342:D342"/>
    <mergeCell ref="F342:H342"/>
    <mergeCell ref="A343:D343"/>
    <mergeCell ref="F343:H3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1">
      <selection activeCell="I99" sqref="I99"/>
    </sheetView>
  </sheetViews>
  <sheetFormatPr defaultColWidth="9.140625" defaultRowHeight="12.75"/>
  <cols>
    <col min="1" max="1" width="2.421875" style="1" customWidth="1"/>
    <col min="2" max="2" width="3.28125" style="1" customWidth="1"/>
    <col min="6" max="6" width="34.140625" style="1" customWidth="1"/>
    <col min="7" max="9" width="14.140625" style="1" customWidth="1"/>
  </cols>
  <sheetData>
    <row r="1" spans="1:9" ht="14.25">
      <c r="A1" s="2"/>
      <c r="B1" s="2"/>
      <c r="C1" s="2"/>
      <c r="D1" s="2"/>
      <c r="E1" s="2"/>
      <c r="F1" s="2"/>
      <c r="G1" s="2"/>
      <c r="H1" s="1056" t="s">
        <v>317</v>
      </c>
      <c r="I1" s="1056"/>
    </row>
    <row r="2" spans="1:9" ht="15">
      <c r="A2" s="1053" t="s">
        <v>318</v>
      </c>
      <c r="B2" s="1053"/>
      <c r="C2" s="1053"/>
      <c r="D2" s="1053"/>
      <c r="E2" s="1053"/>
      <c r="F2" s="1053"/>
      <c r="G2" s="1053"/>
      <c r="H2" s="1053"/>
      <c r="I2" s="1053"/>
    </row>
    <row r="3" spans="1:9" ht="15">
      <c r="A3" s="5"/>
      <c r="B3" s="5"/>
      <c r="C3" s="5"/>
      <c r="D3" s="5"/>
      <c r="E3" s="5"/>
      <c r="F3" s="5"/>
      <c r="G3" s="5"/>
      <c r="H3" s="5"/>
      <c r="I3" s="5"/>
    </row>
    <row r="4" spans="1:9" ht="15">
      <c r="A4" s="5"/>
      <c r="B4" s="5"/>
      <c r="C4" s="5"/>
      <c r="D4" s="5"/>
      <c r="E4" s="5"/>
      <c r="F4" s="5"/>
      <c r="G4" s="5"/>
      <c r="H4" s="5"/>
      <c r="I4" s="109" t="s">
        <v>1305</v>
      </c>
    </row>
    <row r="5" spans="1:9" ht="15.75" customHeight="1">
      <c r="A5" s="1054" t="s">
        <v>960</v>
      </c>
      <c r="B5" s="1054"/>
      <c r="C5" s="1054"/>
      <c r="D5" s="1054"/>
      <c r="E5" s="1054"/>
      <c r="F5" s="1054"/>
      <c r="G5" s="8" t="s">
        <v>961</v>
      </c>
      <c r="H5" s="8" t="s">
        <v>962</v>
      </c>
      <c r="I5" s="10" t="s">
        <v>963</v>
      </c>
    </row>
    <row r="6" spans="1:9" ht="12.75">
      <c r="A6" s="1196" t="s">
        <v>319</v>
      </c>
      <c r="B6" s="1196"/>
      <c r="C6" s="1196"/>
      <c r="D6" s="1196"/>
      <c r="E6" s="1196"/>
      <c r="F6" s="1196"/>
      <c r="G6" s="1197" t="s">
        <v>1084</v>
      </c>
      <c r="H6" s="1197" t="s">
        <v>978</v>
      </c>
      <c r="I6" s="1198" t="s">
        <v>979</v>
      </c>
    </row>
    <row r="7" spans="1:9" ht="12.75" customHeight="1">
      <c r="A7" s="1196"/>
      <c r="B7" s="1196"/>
      <c r="C7" s="1196"/>
      <c r="D7" s="1196"/>
      <c r="E7" s="1196"/>
      <c r="F7" s="1196"/>
      <c r="G7" s="1197"/>
      <c r="H7" s="1197"/>
      <c r="I7" s="1198"/>
    </row>
    <row r="8" spans="1:9" ht="12.75" hidden="1">
      <c r="A8" s="1196"/>
      <c r="B8" s="1196"/>
      <c r="C8" s="1196"/>
      <c r="D8" s="1196"/>
      <c r="E8" s="1196"/>
      <c r="F8" s="1196"/>
      <c r="G8" s="883"/>
      <c r="H8" s="883"/>
      <c r="I8" s="884"/>
    </row>
    <row r="9" spans="1:9" ht="12.75" hidden="1">
      <c r="A9" s="1196"/>
      <c r="B9" s="1196"/>
      <c r="C9" s="1196"/>
      <c r="D9" s="1196"/>
      <c r="E9" s="1196"/>
      <c r="F9" s="1196"/>
      <c r="G9" s="883"/>
      <c r="H9" s="883"/>
      <c r="I9" s="884"/>
    </row>
    <row r="10" spans="1:9" ht="12.75">
      <c r="A10" s="885"/>
      <c r="B10" s="802"/>
      <c r="C10" s="802"/>
      <c r="D10" s="802"/>
      <c r="E10" s="802"/>
      <c r="F10" s="886"/>
      <c r="G10" s="887"/>
      <c r="H10" s="887"/>
      <c r="I10" s="888"/>
    </row>
    <row r="11" spans="1:9" ht="12.75">
      <c r="A11" s="808"/>
      <c r="B11" s="809" t="s">
        <v>987</v>
      </c>
      <c r="C11" s="809" t="s">
        <v>992</v>
      </c>
      <c r="D11" s="809"/>
      <c r="E11" s="809"/>
      <c r="F11" s="889"/>
      <c r="G11" s="811">
        <v>1109382</v>
      </c>
      <c r="H11" s="811">
        <v>1372205</v>
      </c>
      <c r="I11" s="890">
        <v>1347014</v>
      </c>
    </row>
    <row r="12" spans="1:9" ht="12.75">
      <c r="A12" s="808"/>
      <c r="B12" s="809" t="s">
        <v>1030</v>
      </c>
      <c r="C12" s="809" t="s">
        <v>995</v>
      </c>
      <c r="D12" s="809"/>
      <c r="E12" s="809"/>
      <c r="F12" s="889"/>
      <c r="G12" s="811">
        <v>289215</v>
      </c>
      <c r="H12" s="811">
        <v>332786</v>
      </c>
      <c r="I12" s="890">
        <v>326047</v>
      </c>
    </row>
    <row r="13" spans="1:9" ht="12.75">
      <c r="A13" s="808"/>
      <c r="B13" s="809" t="s">
        <v>1074</v>
      </c>
      <c r="C13" s="809" t="s">
        <v>320</v>
      </c>
      <c r="D13" s="809"/>
      <c r="E13" s="809"/>
      <c r="F13" s="889"/>
      <c r="G13" s="811">
        <v>647589</v>
      </c>
      <c r="H13" s="811">
        <v>800253</v>
      </c>
      <c r="I13" s="890">
        <v>707369</v>
      </c>
    </row>
    <row r="14" spans="1:9" ht="12.75">
      <c r="A14" s="808"/>
      <c r="B14" s="809" t="s">
        <v>1168</v>
      </c>
      <c r="C14" s="809" t="s">
        <v>321</v>
      </c>
      <c r="D14" s="809"/>
      <c r="E14" s="809"/>
      <c r="F14" s="889"/>
      <c r="G14" s="811">
        <v>37818</v>
      </c>
      <c r="H14" s="811">
        <v>179283</v>
      </c>
      <c r="I14" s="890">
        <v>305404</v>
      </c>
    </row>
    <row r="15" spans="1:9" ht="12.75">
      <c r="A15" s="808"/>
      <c r="B15" s="809" t="s">
        <v>1169</v>
      </c>
      <c r="C15" s="809" t="s">
        <v>322</v>
      </c>
      <c r="D15" s="809"/>
      <c r="E15" s="809"/>
      <c r="F15" s="889"/>
      <c r="G15" s="811">
        <v>45542</v>
      </c>
      <c r="H15" s="811">
        <v>56353</v>
      </c>
      <c r="I15" s="890">
        <v>50823</v>
      </c>
    </row>
    <row r="16" spans="1:9" ht="12.75">
      <c r="A16" s="808"/>
      <c r="B16" s="809" t="s">
        <v>1175</v>
      </c>
      <c r="C16" s="809" t="s">
        <v>323</v>
      </c>
      <c r="D16" s="809"/>
      <c r="E16" s="809"/>
      <c r="F16" s="889"/>
      <c r="G16" s="811">
        <v>4447</v>
      </c>
      <c r="H16" s="811">
        <v>32074</v>
      </c>
      <c r="I16" s="890">
        <v>32029</v>
      </c>
    </row>
    <row r="17" spans="1:9" ht="12.75">
      <c r="A17" s="808"/>
      <c r="B17" s="809" t="s">
        <v>1172</v>
      </c>
      <c r="C17" s="809" t="s">
        <v>324</v>
      </c>
      <c r="D17" s="809"/>
      <c r="E17" s="809"/>
      <c r="F17" s="889"/>
      <c r="G17" s="811">
        <v>35132</v>
      </c>
      <c r="H17" s="811">
        <v>51666</v>
      </c>
      <c r="I17" s="890">
        <v>61085</v>
      </c>
    </row>
    <row r="18" spans="1:9" ht="12.75">
      <c r="A18" s="808"/>
      <c r="B18" s="809" t="s">
        <v>1180</v>
      </c>
      <c r="C18" s="809" t="s">
        <v>1032</v>
      </c>
      <c r="D18" s="809"/>
      <c r="E18" s="809"/>
      <c r="F18" s="889"/>
      <c r="G18" s="811">
        <v>105406</v>
      </c>
      <c r="H18" s="811">
        <v>158148</v>
      </c>
      <c r="I18" s="890">
        <v>148419</v>
      </c>
    </row>
    <row r="19" spans="1:9" ht="12.75">
      <c r="A19" s="808"/>
      <c r="B19" s="809" t="s">
        <v>1183</v>
      </c>
      <c r="C19" s="809" t="s">
        <v>325</v>
      </c>
      <c r="D19" s="809"/>
      <c r="E19" s="809"/>
      <c r="F19" s="889"/>
      <c r="G19" s="811"/>
      <c r="H19" s="811">
        <v>71</v>
      </c>
      <c r="I19" s="890">
        <v>757</v>
      </c>
    </row>
    <row r="20" spans="1:9" ht="12.75">
      <c r="A20" s="808"/>
      <c r="B20" s="809" t="s">
        <v>1176</v>
      </c>
      <c r="C20" s="809" t="s">
        <v>326</v>
      </c>
      <c r="D20" s="809"/>
      <c r="E20" s="809"/>
      <c r="F20" s="889"/>
      <c r="G20" s="811">
        <v>87662</v>
      </c>
      <c r="H20" s="811">
        <v>36423</v>
      </c>
      <c r="I20" s="890">
        <v>35020</v>
      </c>
    </row>
    <row r="21" spans="1:9" ht="12.75">
      <c r="A21" s="808"/>
      <c r="B21" s="809" t="s">
        <v>1178</v>
      </c>
      <c r="C21" s="809" t="s">
        <v>327</v>
      </c>
      <c r="D21" s="809"/>
      <c r="E21" s="809"/>
      <c r="F21" s="889"/>
      <c r="G21" s="811"/>
      <c r="H21" s="811">
        <v>296465</v>
      </c>
      <c r="I21" s="890">
        <v>296465</v>
      </c>
    </row>
    <row r="22" spans="1:9" ht="12.75">
      <c r="A22" s="808"/>
      <c r="B22" s="809" t="s">
        <v>1181</v>
      </c>
      <c r="C22" s="809" t="s">
        <v>328</v>
      </c>
      <c r="D22" s="809"/>
      <c r="E22" s="809"/>
      <c r="F22" s="889"/>
      <c r="G22" s="811"/>
      <c r="H22" s="811">
        <v>1340</v>
      </c>
      <c r="I22" s="890">
        <v>1340</v>
      </c>
    </row>
    <row r="23" spans="1:9" ht="12.75">
      <c r="A23" s="808"/>
      <c r="B23" s="809"/>
      <c r="C23" s="809"/>
      <c r="D23" s="809"/>
      <c r="E23" s="809"/>
      <c r="F23" s="889"/>
      <c r="G23" s="811"/>
      <c r="H23" s="811"/>
      <c r="I23" s="890"/>
    </row>
    <row r="24" spans="1:9" ht="12.75">
      <c r="A24" s="808"/>
      <c r="B24" s="809" t="s">
        <v>1184</v>
      </c>
      <c r="C24" s="809" t="s">
        <v>329</v>
      </c>
      <c r="D24" s="809"/>
      <c r="E24" s="809"/>
      <c r="F24" s="889"/>
      <c r="G24" s="811">
        <f>SUM(G11:G23)</f>
        <v>2362193</v>
      </c>
      <c r="H24" s="811">
        <f>SUM(H11:H23)</f>
        <v>3317067</v>
      </c>
      <c r="I24" s="890">
        <f>SUM(I11:I23)</f>
        <v>3311772</v>
      </c>
    </row>
    <row r="25" spans="1:9" ht="12.75">
      <c r="A25" s="808"/>
      <c r="B25" s="809"/>
      <c r="C25" s="809"/>
      <c r="D25" s="809"/>
      <c r="E25" s="809"/>
      <c r="F25" s="889"/>
      <c r="G25" s="811"/>
      <c r="H25" s="811"/>
      <c r="I25" s="890"/>
    </row>
    <row r="26" spans="1:9" ht="12.75">
      <c r="A26" s="808"/>
      <c r="B26" s="809"/>
      <c r="C26" s="809"/>
      <c r="D26" s="809"/>
      <c r="E26" s="809"/>
      <c r="F26" s="889"/>
      <c r="G26" s="811"/>
      <c r="H26" s="811"/>
      <c r="I26" s="890"/>
    </row>
    <row r="27" spans="1:9" ht="12.75">
      <c r="A27" s="808"/>
      <c r="B27" s="809" t="s">
        <v>1319</v>
      </c>
      <c r="C27" s="809" t="s">
        <v>330</v>
      </c>
      <c r="D27" s="809"/>
      <c r="E27" s="809"/>
      <c r="F27" s="889"/>
      <c r="G27" s="811">
        <v>7934</v>
      </c>
      <c r="H27" s="811">
        <v>7934</v>
      </c>
      <c r="I27" s="890">
        <v>7934</v>
      </c>
    </row>
    <row r="28" spans="1:9" ht="12.75">
      <c r="A28" s="808"/>
      <c r="B28" s="809" t="s">
        <v>1321</v>
      </c>
      <c r="C28" s="809" t="s">
        <v>331</v>
      </c>
      <c r="D28" s="809"/>
      <c r="E28" s="809"/>
      <c r="F28" s="889"/>
      <c r="G28" s="811"/>
      <c r="H28" s="811"/>
      <c r="I28" s="890"/>
    </row>
    <row r="29" spans="1:9" ht="12.75">
      <c r="A29" s="808"/>
      <c r="B29" s="809" t="s">
        <v>1188</v>
      </c>
      <c r="C29" s="809" t="s">
        <v>332</v>
      </c>
      <c r="D29" s="809"/>
      <c r="E29" s="809"/>
      <c r="F29" s="889"/>
      <c r="G29" s="811"/>
      <c r="H29" s="811"/>
      <c r="I29" s="890"/>
    </row>
    <row r="30" spans="1:9" ht="12.75">
      <c r="A30" s="808"/>
      <c r="B30" s="809" t="s">
        <v>1324</v>
      </c>
      <c r="C30" s="809" t="s">
        <v>333</v>
      </c>
      <c r="D30" s="809"/>
      <c r="E30" s="809"/>
      <c r="F30" s="889"/>
      <c r="G30" s="811"/>
      <c r="H30" s="811"/>
      <c r="I30" s="890"/>
    </row>
    <row r="31" spans="1:9" ht="12.75">
      <c r="A31" s="808"/>
      <c r="B31" s="809"/>
      <c r="C31" s="809"/>
      <c r="D31" s="809"/>
      <c r="E31" s="809"/>
      <c r="F31" s="889"/>
      <c r="G31" s="811"/>
      <c r="H31" s="811"/>
      <c r="I31" s="890"/>
    </row>
    <row r="32" spans="1:9" ht="12.75">
      <c r="A32" s="808"/>
      <c r="B32" s="809" t="s">
        <v>1326</v>
      </c>
      <c r="C32" s="809" t="s">
        <v>334</v>
      </c>
      <c r="D32" s="809"/>
      <c r="E32" s="809"/>
      <c r="F32" s="889"/>
      <c r="G32" s="811">
        <f>SUM(G27:G30)</f>
        <v>7934</v>
      </c>
      <c r="H32" s="811">
        <f>SUM(H27:H30)</f>
        <v>7934</v>
      </c>
      <c r="I32" s="890">
        <f>SUM(I27:I30)</f>
        <v>7934</v>
      </c>
    </row>
    <row r="33" spans="1:9" ht="12.75">
      <c r="A33" s="808"/>
      <c r="B33" s="809"/>
      <c r="C33" s="809"/>
      <c r="D33" s="809"/>
      <c r="E33" s="809"/>
      <c r="F33" s="889"/>
      <c r="G33" s="811"/>
      <c r="H33" s="811"/>
      <c r="I33" s="890"/>
    </row>
    <row r="34" spans="1:9" ht="12.75">
      <c r="A34" s="808"/>
      <c r="B34" s="809" t="s">
        <v>1327</v>
      </c>
      <c r="C34" s="891" t="s">
        <v>335</v>
      </c>
      <c r="D34" s="809"/>
      <c r="E34" s="809"/>
      <c r="F34" s="889"/>
      <c r="G34" s="892">
        <f>SUM(G32,G24)</f>
        <v>2370127</v>
      </c>
      <c r="H34" s="892">
        <f>SUM(H32,H24)</f>
        <v>3325001</v>
      </c>
      <c r="I34" s="890">
        <f>SUM(I32,I24)</f>
        <v>3319706</v>
      </c>
    </row>
    <row r="35" spans="1:9" ht="12.75">
      <c r="A35" s="814"/>
      <c r="B35" s="809"/>
      <c r="C35" s="891"/>
      <c r="D35" s="809"/>
      <c r="E35" s="809"/>
      <c r="F35" s="809"/>
      <c r="G35" s="893"/>
      <c r="H35" s="893"/>
      <c r="I35" s="894"/>
    </row>
    <row r="36" spans="1:9" ht="12.75">
      <c r="A36" s="802"/>
      <c r="B36" s="802"/>
      <c r="C36" s="895"/>
      <c r="D36" s="802"/>
      <c r="E36" s="802"/>
      <c r="F36" s="802"/>
      <c r="G36" s="896"/>
      <c r="H36" s="896"/>
      <c r="I36" s="897"/>
    </row>
    <row r="37" spans="1:9" ht="12.75">
      <c r="A37" s="809"/>
      <c r="B37" s="809"/>
      <c r="C37" s="891"/>
      <c r="D37" s="809"/>
      <c r="E37" s="809"/>
      <c r="F37" s="809"/>
      <c r="G37" s="898"/>
      <c r="H37" s="898"/>
      <c r="I37" s="899"/>
    </row>
    <row r="38" spans="1:9" ht="12.75">
      <c r="A38" s="809"/>
      <c r="B38" s="809"/>
      <c r="C38" s="891"/>
      <c r="D38" s="809"/>
      <c r="E38" s="809"/>
      <c r="F38" s="809"/>
      <c r="G38" s="898"/>
      <c r="H38" s="898"/>
      <c r="I38" s="899"/>
    </row>
    <row r="39" spans="1:9" ht="14.25">
      <c r="A39" s="809"/>
      <c r="B39" s="900"/>
      <c r="C39" s="891"/>
      <c r="D39" s="809"/>
      <c r="E39" s="809"/>
      <c r="F39" s="809"/>
      <c r="G39" s="812"/>
      <c r="H39" s="812"/>
      <c r="I39" s="901" t="s">
        <v>1448</v>
      </c>
    </row>
    <row r="40" spans="1:8" ht="12.75">
      <c r="A40" s="809"/>
      <c r="B40" s="900"/>
      <c r="C40" s="891"/>
      <c r="D40" s="809"/>
      <c r="E40" s="809"/>
      <c r="F40" s="809"/>
      <c r="G40" s="812"/>
      <c r="H40" s="812"/>
    </row>
    <row r="41" spans="1:9" ht="14.25">
      <c r="A41" s="809"/>
      <c r="B41" s="900"/>
      <c r="C41" s="891"/>
      <c r="D41" s="809"/>
      <c r="E41" s="809"/>
      <c r="F41" s="809"/>
      <c r="G41" s="812"/>
      <c r="H41" s="812"/>
      <c r="I41" s="901" t="s">
        <v>1305</v>
      </c>
    </row>
    <row r="42" spans="1:9" ht="14.25">
      <c r="A42" s="1054" t="s">
        <v>960</v>
      </c>
      <c r="B42" s="1054"/>
      <c r="C42" s="1054"/>
      <c r="D42" s="1054"/>
      <c r="E42" s="1054"/>
      <c r="F42" s="1054"/>
      <c r="G42" s="8" t="s">
        <v>961</v>
      </c>
      <c r="H42" s="8" t="s">
        <v>962</v>
      </c>
      <c r="I42" s="10" t="s">
        <v>963</v>
      </c>
    </row>
    <row r="43" spans="1:9" ht="12.75">
      <c r="A43" s="1194" t="s">
        <v>319</v>
      </c>
      <c r="B43" s="1194"/>
      <c r="C43" s="1194"/>
      <c r="D43" s="1194"/>
      <c r="E43" s="1194"/>
      <c r="F43" s="1194"/>
      <c r="G43" s="1195" t="s">
        <v>1084</v>
      </c>
      <c r="H43" s="1195" t="s">
        <v>978</v>
      </c>
      <c r="I43" s="1193" t="s">
        <v>979</v>
      </c>
    </row>
    <row r="44" spans="1:9" ht="12.75">
      <c r="A44" s="1194"/>
      <c r="B44" s="1194"/>
      <c r="C44" s="1194"/>
      <c r="D44" s="1194"/>
      <c r="E44" s="1194"/>
      <c r="F44" s="1194"/>
      <c r="G44" s="1195"/>
      <c r="H44" s="1195"/>
      <c r="I44" s="1193"/>
    </row>
    <row r="45" spans="1:9" ht="12.75">
      <c r="A45" s="808"/>
      <c r="B45" s="809" t="s">
        <v>1329</v>
      </c>
      <c r="C45" s="809" t="s">
        <v>336</v>
      </c>
      <c r="D45" s="809"/>
      <c r="E45" s="809"/>
      <c r="F45" s="889"/>
      <c r="G45" s="811">
        <v>82579</v>
      </c>
      <c r="H45" s="811">
        <v>89958</v>
      </c>
      <c r="I45" s="902"/>
    </row>
    <row r="46" spans="1:9" ht="12.75">
      <c r="A46" s="808"/>
      <c r="B46" s="809" t="s">
        <v>1331</v>
      </c>
      <c r="C46" s="809" t="s">
        <v>1022</v>
      </c>
      <c r="D46" s="809"/>
      <c r="E46" s="809"/>
      <c r="F46" s="889"/>
      <c r="G46" s="811"/>
      <c r="H46" s="811"/>
      <c r="I46" s="902">
        <v>232</v>
      </c>
    </row>
    <row r="47" spans="1:9" ht="12.75">
      <c r="A47" s="808"/>
      <c r="B47" s="809" t="s">
        <v>1333</v>
      </c>
      <c r="C47" s="809" t="s">
        <v>337</v>
      </c>
      <c r="D47" s="809"/>
      <c r="E47" s="809"/>
      <c r="F47" s="889"/>
      <c r="G47" s="811"/>
      <c r="H47" s="811"/>
      <c r="I47" s="902">
        <v>-6072</v>
      </c>
    </row>
    <row r="48" spans="1:9" ht="12.75">
      <c r="A48" s="808"/>
      <c r="B48" s="809"/>
      <c r="C48" s="809"/>
      <c r="D48" s="809"/>
      <c r="E48" s="809"/>
      <c r="F48" s="889"/>
      <c r="H48" s="83"/>
      <c r="I48" s="890"/>
    </row>
    <row r="49" spans="1:9" ht="15">
      <c r="A49" s="808"/>
      <c r="B49" s="209" t="s">
        <v>1335</v>
      </c>
      <c r="C49" s="209" t="s">
        <v>338</v>
      </c>
      <c r="D49" s="209"/>
      <c r="E49" s="209"/>
      <c r="F49" s="209"/>
      <c r="G49" s="94">
        <f>SUM(G34,G45:G47)</f>
        <v>2452706</v>
      </c>
      <c r="H49" s="94">
        <f>SUM(H45,H34)</f>
        <v>3414959</v>
      </c>
      <c r="I49" s="903">
        <f>SUM(I34,I47,I48,I45:I46)</f>
        <v>3313866</v>
      </c>
    </row>
    <row r="50" spans="1:9" ht="12.75">
      <c r="A50" s="904"/>
      <c r="B50" s="554"/>
      <c r="C50" s="1"/>
      <c r="D50" s="1"/>
      <c r="E50" s="1"/>
      <c r="G50" s="83"/>
      <c r="H50" s="83"/>
      <c r="I50" s="179"/>
    </row>
    <row r="51" spans="1:9" ht="12.75">
      <c r="A51" s="904"/>
      <c r="B51" s="554" t="s">
        <v>1337</v>
      </c>
      <c r="C51" s="1" t="s">
        <v>991</v>
      </c>
      <c r="D51" s="1"/>
      <c r="E51" s="1"/>
      <c r="G51" s="905">
        <v>268955</v>
      </c>
      <c r="H51" s="905">
        <v>290777</v>
      </c>
      <c r="I51" s="890">
        <v>316654</v>
      </c>
    </row>
    <row r="52" spans="1:9" ht="12.75">
      <c r="A52" s="904"/>
      <c r="B52" s="554" t="s">
        <v>1339</v>
      </c>
      <c r="C52" s="1" t="s">
        <v>994</v>
      </c>
      <c r="D52" s="1"/>
      <c r="E52" s="1"/>
      <c r="G52" s="905">
        <v>581913</v>
      </c>
      <c r="H52" s="905">
        <v>703977</v>
      </c>
      <c r="I52" s="890">
        <v>703977</v>
      </c>
    </row>
    <row r="53" spans="1:9" ht="12.75">
      <c r="A53" s="904"/>
      <c r="B53" s="554" t="s">
        <v>1340</v>
      </c>
      <c r="C53" s="809" t="s">
        <v>339</v>
      </c>
      <c r="D53" s="1"/>
      <c r="E53" s="1"/>
      <c r="G53" s="905">
        <v>134587</v>
      </c>
      <c r="H53" s="905">
        <v>271919</v>
      </c>
      <c r="I53" s="890">
        <v>406710</v>
      </c>
    </row>
    <row r="54" spans="1:9" ht="12.75">
      <c r="A54" s="904"/>
      <c r="B54" s="554" t="s">
        <v>1341</v>
      </c>
      <c r="C54" s="809" t="s">
        <v>340</v>
      </c>
      <c r="D54" s="1"/>
      <c r="E54" s="1"/>
      <c r="G54" s="905"/>
      <c r="H54" s="905">
        <v>10348</v>
      </c>
      <c r="I54" s="890">
        <v>5623</v>
      </c>
    </row>
    <row r="55" spans="1:9" ht="12.75">
      <c r="A55" s="904"/>
      <c r="B55" s="554" t="s">
        <v>1343</v>
      </c>
      <c r="C55" s="1" t="s">
        <v>341</v>
      </c>
      <c r="D55" s="1"/>
      <c r="E55" s="1"/>
      <c r="G55" s="905">
        <v>56903</v>
      </c>
      <c r="H55" s="905">
        <v>8833</v>
      </c>
      <c r="I55" s="890">
        <v>18161</v>
      </c>
    </row>
    <row r="56" spans="1:9" ht="12.75">
      <c r="A56" s="904"/>
      <c r="B56" s="554" t="s">
        <v>1345</v>
      </c>
      <c r="C56" s="1" t="s">
        <v>342</v>
      </c>
      <c r="D56" s="1"/>
      <c r="E56" s="1"/>
      <c r="G56" s="905">
        <v>50535</v>
      </c>
      <c r="H56" s="905">
        <v>2465</v>
      </c>
      <c r="I56" s="890">
        <v>3162</v>
      </c>
    </row>
    <row r="57" spans="1:9" ht="12.75">
      <c r="A57" s="904"/>
      <c r="B57" s="554" t="s">
        <v>1347</v>
      </c>
      <c r="C57" s="809" t="s">
        <v>343</v>
      </c>
      <c r="D57" s="1"/>
      <c r="E57" s="1"/>
      <c r="G57" s="905">
        <v>81483</v>
      </c>
      <c r="H57" s="905">
        <v>55190</v>
      </c>
      <c r="I57" s="890">
        <v>56389</v>
      </c>
    </row>
    <row r="58" spans="1:9" ht="12.75">
      <c r="A58" s="904"/>
      <c r="B58" s="554" t="s">
        <v>1349</v>
      </c>
      <c r="C58" s="809" t="s">
        <v>344</v>
      </c>
      <c r="D58" s="1"/>
      <c r="E58" s="1"/>
      <c r="G58" s="905">
        <v>79269</v>
      </c>
      <c r="H58" s="905">
        <v>86986</v>
      </c>
      <c r="I58" s="890">
        <v>93076</v>
      </c>
    </row>
    <row r="59" spans="1:9" ht="12.75">
      <c r="A59" s="904"/>
      <c r="B59" s="554" t="s">
        <v>1351</v>
      </c>
      <c r="C59" s="1" t="s">
        <v>345</v>
      </c>
      <c r="D59" s="1"/>
      <c r="E59" s="1"/>
      <c r="G59" s="905">
        <v>994128</v>
      </c>
      <c r="H59" s="905">
        <v>1472687</v>
      </c>
      <c r="I59" s="890">
        <v>1472687</v>
      </c>
    </row>
    <row r="60" spans="1:9" ht="12.75">
      <c r="A60" s="904"/>
      <c r="B60" s="554" t="s">
        <v>1353</v>
      </c>
      <c r="C60" s="1" t="s">
        <v>346</v>
      </c>
      <c r="D60" s="1"/>
      <c r="E60" s="1"/>
      <c r="G60" s="905">
        <v>994128</v>
      </c>
      <c r="H60" s="905">
        <v>1472687</v>
      </c>
      <c r="I60" s="890">
        <v>1472687</v>
      </c>
    </row>
    <row r="61" spans="1:9" ht="12.75">
      <c r="A61" s="904"/>
      <c r="B61" s="554" t="s">
        <v>1355</v>
      </c>
      <c r="C61" s="1" t="s">
        <v>347</v>
      </c>
      <c r="D61" s="1"/>
      <c r="E61" s="1"/>
      <c r="G61" s="905"/>
      <c r="H61" s="905"/>
      <c r="I61" s="890"/>
    </row>
    <row r="62" spans="1:9" ht="12.75">
      <c r="A62" s="904"/>
      <c r="B62" s="554" t="s">
        <v>1357</v>
      </c>
      <c r="C62" s="1" t="s">
        <v>348</v>
      </c>
      <c r="D62" s="1"/>
      <c r="E62" s="1"/>
      <c r="G62" s="905"/>
      <c r="H62" s="905">
        <v>692</v>
      </c>
      <c r="I62" s="890">
        <v>974</v>
      </c>
    </row>
    <row r="63" spans="1:9" ht="12.75">
      <c r="A63" s="904"/>
      <c r="B63" s="554"/>
      <c r="C63" s="1"/>
      <c r="D63" s="1"/>
      <c r="E63" s="1"/>
      <c r="G63" s="905"/>
      <c r="H63" s="905"/>
      <c r="I63" s="890"/>
    </row>
    <row r="64" spans="1:9" ht="12.75">
      <c r="A64" s="904"/>
      <c r="B64" s="554" t="s">
        <v>1359</v>
      </c>
      <c r="C64" s="1" t="s">
        <v>349</v>
      </c>
      <c r="D64" s="1"/>
      <c r="E64" s="1"/>
      <c r="G64" s="905">
        <f>SUM(G51,G52,G53,G54,G55,G57,G58,G59)</f>
        <v>2197238</v>
      </c>
      <c r="H64" s="905">
        <f>SUM(H51,H52,H53,H54,H55,H57,H58,H59,H61,H62)</f>
        <v>2901409</v>
      </c>
      <c r="I64" s="890">
        <f>SUM(I51,I52,I53,I54,I55,I57,I58,I59,I61,I62)</f>
        <v>3074251</v>
      </c>
    </row>
    <row r="65" spans="1:9" ht="12.75">
      <c r="A65" s="904"/>
      <c r="B65" s="554"/>
      <c r="C65" s="1" t="s">
        <v>350</v>
      </c>
      <c r="D65" s="1"/>
      <c r="E65" s="1"/>
      <c r="G65" s="83"/>
      <c r="H65" s="83"/>
      <c r="I65" s="179"/>
    </row>
    <row r="66" spans="1:9" ht="12.75">
      <c r="A66" s="904"/>
      <c r="B66" s="554"/>
      <c r="C66" s="1"/>
      <c r="D66" s="1"/>
      <c r="E66" s="1"/>
      <c r="G66" s="905"/>
      <c r="H66" s="905"/>
      <c r="I66" s="890"/>
    </row>
    <row r="67" spans="1:9" ht="12.75">
      <c r="A67" s="904"/>
      <c r="B67" s="554" t="s">
        <v>1361</v>
      </c>
      <c r="C67" s="1" t="s">
        <v>351</v>
      </c>
      <c r="D67" s="1"/>
      <c r="E67" s="1"/>
      <c r="G67" s="905">
        <v>81927</v>
      </c>
      <c r="H67" s="905">
        <v>144806</v>
      </c>
      <c r="I67" s="890"/>
    </row>
    <row r="68" spans="1:9" ht="12.75">
      <c r="A68" s="904"/>
      <c r="B68" s="554" t="s">
        <v>139</v>
      </c>
      <c r="C68" s="1" t="s">
        <v>352</v>
      </c>
      <c r="D68" s="1"/>
      <c r="E68" s="1"/>
      <c r="G68" s="905">
        <v>173541</v>
      </c>
      <c r="H68" s="905">
        <v>84949</v>
      </c>
      <c r="I68" s="890">
        <v>90377</v>
      </c>
    </row>
    <row r="69" spans="1:9" ht="12.75">
      <c r="A69" s="904"/>
      <c r="B69" s="554" t="s">
        <v>353</v>
      </c>
      <c r="C69" s="809" t="s">
        <v>354</v>
      </c>
      <c r="D69" s="1"/>
      <c r="E69" s="1"/>
      <c r="G69" s="905"/>
      <c r="H69" s="905"/>
      <c r="I69" s="890"/>
    </row>
    <row r="70" spans="1:9" ht="12.75">
      <c r="A70" s="904"/>
      <c r="B70" s="554" t="s">
        <v>355</v>
      </c>
      <c r="C70" s="809" t="s">
        <v>356</v>
      </c>
      <c r="D70" s="1"/>
      <c r="E70" s="1"/>
      <c r="G70" s="905"/>
      <c r="H70" s="905"/>
      <c r="I70" s="890"/>
    </row>
    <row r="71" spans="1:9" ht="12.75">
      <c r="A71" s="904"/>
      <c r="B71" s="554"/>
      <c r="C71" s="1"/>
      <c r="D71" s="1"/>
      <c r="E71" s="1"/>
      <c r="G71" s="905"/>
      <c r="H71" s="905"/>
      <c r="I71" s="890"/>
    </row>
    <row r="72" spans="1:9" ht="12.75">
      <c r="A72" s="904"/>
      <c r="B72" s="1" t="s">
        <v>357</v>
      </c>
      <c r="C72" s="1" t="s">
        <v>358</v>
      </c>
      <c r="D72" s="1"/>
      <c r="E72" s="1"/>
      <c r="G72" s="905">
        <f>SUM(G67:G71)</f>
        <v>255468</v>
      </c>
      <c r="H72" s="905">
        <f>SUM(H67:H71)</f>
        <v>229755</v>
      </c>
      <c r="I72" s="890">
        <f>SUM(I67:I71)</f>
        <v>90377</v>
      </c>
    </row>
    <row r="73" spans="1:9" ht="12.75">
      <c r="A73" s="904"/>
      <c r="B73" s="554"/>
      <c r="C73" s="554"/>
      <c r="D73" s="554"/>
      <c r="E73" s="554"/>
      <c r="F73" s="602"/>
      <c r="G73" s="83"/>
      <c r="H73" s="83"/>
      <c r="I73" s="179"/>
    </row>
    <row r="74" spans="1:9" ht="12.75">
      <c r="A74" s="906"/>
      <c r="B74" s="907" t="s">
        <v>359</v>
      </c>
      <c r="C74" s="907" t="s">
        <v>360</v>
      </c>
      <c r="D74" s="907"/>
      <c r="E74" s="907"/>
      <c r="F74" s="908"/>
      <c r="G74" s="909">
        <f>SUM(G64,G72)</f>
        <v>2452706</v>
      </c>
      <c r="H74" s="909">
        <f>SUM(H64,H72)</f>
        <v>3131164</v>
      </c>
      <c r="I74" s="910">
        <f>SUM(I64,I72)</f>
        <v>3164628</v>
      </c>
    </row>
    <row r="75" spans="3:9" ht="12.75">
      <c r="C75" s="1"/>
      <c r="D75" s="1"/>
      <c r="E75" s="1"/>
      <c r="G75" s="554"/>
      <c r="H75" s="554"/>
      <c r="I75" s="554"/>
    </row>
    <row r="76" spans="3:9" ht="12.75">
      <c r="C76" s="1"/>
      <c r="D76" s="1"/>
      <c r="E76" s="1"/>
      <c r="G76" s="554"/>
      <c r="H76" s="554"/>
      <c r="I76" s="554"/>
    </row>
    <row r="77" spans="3:9" ht="12.75">
      <c r="C77" s="1"/>
      <c r="D77" s="1"/>
      <c r="E77" s="1"/>
      <c r="G77" s="554"/>
      <c r="H77" s="554"/>
      <c r="I77" s="554"/>
    </row>
    <row r="78" spans="3:9" ht="14.25">
      <c r="C78" s="1"/>
      <c r="D78" s="1"/>
      <c r="E78" s="1"/>
      <c r="G78" s="554"/>
      <c r="H78" s="554"/>
      <c r="I78" s="537" t="s">
        <v>57</v>
      </c>
    </row>
    <row r="79" spans="3:9" ht="14.25">
      <c r="C79" s="1"/>
      <c r="D79" s="1"/>
      <c r="E79" s="1"/>
      <c r="G79" s="554"/>
      <c r="H79" s="554"/>
      <c r="I79" s="537"/>
    </row>
    <row r="80" spans="3:9" ht="14.25">
      <c r="C80" s="1"/>
      <c r="D80" s="1"/>
      <c r="E80" s="1"/>
      <c r="I80" s="616" t="s">
        <v>1305</v>
      </c>
    </row>
    <row r="81" spans="1:9" ht="14.25">
      <c r="A81" s="1054" t="s">
        <v>960</v>
      </c>
      <c r="B81" s="1054"/>
      <c r="C81" s="1054"/>
      <c r="D81" s="1054"/>
      <c r="E81" s="1054"/>
      <c r="F81" s="1054"/>
      <c r="G81" s="8" t="s">
        <v>961</v>
      </c>
      <c r="H81" s="8" t="s">
        <v>962</v>
      </c>
      <c r="I81" s="10" t="s">
        <v>963</v>
      </c>
    </row>
    <row r="82" spans="1:9" ht="12.75">
      <c r="A82" s="1194" t="s">
        <v>319</v>
      </c>
      <c r="B82" s="1194"/>
      <c r="C82" s="1194"/>
      <c r="D82" s="1194"/>
      <c r="E82" s="1194"/>
      <c r="F82" s="1194"/>
      <c r="G82" s="1195" t="s">
        <v>1084</v>
      </c>
      <c r="H82" s="1195" t="s">
        <v>978</v>
      </c>
      <c r="I82" s="1193" t="s">
        <v>979</v>
      </c>
    </row>
    <row r="83" spans="1:9" ht="12.75">
      <c r="A83" s="1194"/>
      <c r="B83" s="1194"/>
      <c r="C83" s="1194"/>
      <c r="D83" s="1194"/>
      <c r="E83" s="1194"/>
      <c r="F83" s="1194"/>
      <c r="G83" s="1195"/>
      <c r="H83" s="1195"/>
      <c r="I83" s="1193"/>
    </row>
    <row r="84" spans="1:9" ht="12.75">
      <c r="A84" s="911"/>
      <c r="B84" s="912"/>
      <c r="C84" s="912"/>
      <c r="D84" s="912"/>
      <c r="E84" s="912"/>
      <c r="F84" s="913"/>
      <c r="G84" s="914"/>
      <c r="H84" s="914"/>
      <c r="I84" s="915"/>
    </row>
    <row r="85" spans="1:9" ht="12.75">
      <c r="A85" s="808"/>
      <c r="B85" s="809" t="s">
        <v>361</v>
      </c>
      <c r="C85" s="809" t="s">
        <v>362</v>
      </c>
      <c r="D85" s="809"/>
      <c r="E85" s="809"/>
      <c r="F85" s="889"/>
      <c r="G85" s="811"/>
      <c r="H85" s="811">
        <v>283795</v>
      </c>
      <c r="I85" s="902">
        <v>372569</v>
      </c>
    </row>
    <row r="86" spans="1:9" ht="12.75">
      <c r="A86" s="808"/>
      <c r="B86" s="809" t="s">
        <v>363</v>
      </c>
      <c r="C86" s="809" t="s">
        <v>1029</v>
      </c>
      <c r="D86" s="809"/>
      <c r="E86" s="809"/>
      <c r="F86" s="889"/>
      <c r="G86" s="811"/>
      <c r="H86" s="811"/>
      <c r="I86" s="902">
        <v>232</v>
      </c>
    </row>
    <row r="87" spans="1:9" ht="12.75">
      <c r="A87" s="808"/>
      <c r="B87" s="809" t="s">
        <v>364</v>
      </c>
      <c r="C87" s="809" t="s">
        <v>365</v>
      </c>
      <c r="D87" s="809"/>
      <c r="E87" s="809"/>
      <c r="F87" s="889"/>
      <c r="G87" s="811"/>
      <c r="H87" s="811"/>
      <c r="I87" s="902">
        <v>-100607</v>
      </c>
    </row>
    <row r="88" spans="1:9" ht="12.75">
      <c r="A88" s="808"/>
      <c r="B88" s="809"/>
      <c r="C88" s="809"/>
      <c r="D88" s="809"/>
      <c r="E88" s="809"/>
      <c r="F88" s="889"/>
      <c r="G88" s="83"/>
      <c r="H88" s="83"/>
      <c r="I88" s="179"/>
    </row>
    <row r="89" spans="1:9" ht="15">
      <c r="A89" s="208"/>
      <c r="B89" s="209" t="s">
        <v>366</v>
      </c>
      <c r="C89" s="209" t="s">
        <v>367</v>
      </c>
      <c r="D89" s="209"/>
      <c r="E89" s="209"/>
      <c r="F89" s="209"/>
      <c r="G89" s="94">
        <f>SUM(G74,G85,G87)</f>
        <v>2452706</v>
      </c>
      <c r="H89" s="94">
        <f>SUM(H85,H74)</f>
        <v>3414959</v>
      </c>
      <c r="I89" s="903">
        <f>SUM(I74,I85,I87,I86)</f>
        <v>3436822</v>
      </c>
    </row>
    <row r="90" spans="1:9" ht="12.75">
      <c r="A90" s="904"/>
      <c r="B90" s="554"/>
      <c r="C90" s="554"/>
      <c r="D90" s="554"/>
      <c r="E90" s="554"/>
      <c r="F90" s="554"/>
      <c r="G90" s="83"/>
      <c r="H90" s="83"/>
      <c r="I90" s="179"/>
    </row>
    <row r="91" spans="1:9" ht="12.75">
      <c r="A91" s="904"/>
      <c r="B91" s="554" t="s">
        <v>368</v>
      </c>
      <c r="C91" s="554" t="s">
        <v>369</v>
      </c>
      <c r="D91" s="554"/>
      <c r="E91" s="554"/>
      <c r="F91" s="554"/>
      <c r="G91" s="905">
        <f>G64+G85-G24-G45</f>
        <v>-247534</v>
      </c>
      <c r="H91" s="905">
        <f>H64+H85-H24-H45</f>
        <v>-221821</v>
      </c>
      <c r="I91" s="890">
        <f>I64+I85-I24-I45</f>
        <v>135048</v>
      </c>
    </row>
    <row r="92" spans="1:9" ht="12.75">
      <c r="A92" s="904"/>
      <c r="B92" s="554"/>
      <c r="C92" s="554" t="s">
        <v>370</v>
      </c>
      <c r="D92" s="554"/>
      <c r="E92" s="554"/>
      <c r="F92" s="554"/>
      <c r="G92" s="905"/>
      <c r="H92" s="905"/>
      <c r="I92" s="890"/>
    </row>
    <row r="93" spans="1:9" ht="12.75">
      <c r="A93" s="904"/>
      <c r="B93" s="554"/>
      <c r="C93" s="554"/>
      <c r="D93" s="554"/>
      <c r="E93" s="554"/>
      <c r="F93" s="554"/>
      <c r="G93" s="905"/>
      <c r="H93" s="905"/>
      <c r="I93" s="890"/>
    </row>
    <row r="94" spans="1:9" ht="12.75">
      <c r="A94" s="904"/>
      <c r="B94" s="554" t="s">
        <v>371</v>
      </c>
      <c r="C94" s="554" t="s">
        <v>372</v>
      </c>
      <c r="D94" s="554"/>
      <c r="E94" s="554"/>
      <c r="F94" s="554"/>
      <c r="G94" s="905">
        <f>G72-G32</f>
        <v>247534</v>
      </c>
      <c r="H94" s="905">
        <f>H72-H32</f>
        <v>221821</v>
      </c>
      <c r="I94" s="890">
        <f>I72-I32</f>
        <v>82443</v>
      </c>
    </row>
    <row r="95" spans="1:9" ht="12.75">
      <c r="A95" s="904"/>
      <c r="B95" s="554"/>
      <c r="C95" s="554"/>
      <c r="D95" s="554"/>
      <c r="E95" s="554"/>
      <c r="F95" s="554"/>
      <c r="G95" s="905"/>
      <c r="H95" s="905"/>
      <c r="I95" s="890"/>
    </row>
    <row r="96" spans="1:9" ht="12.75">
      <c r="A96" s="904"/>
      <c r="B96" s="554" t="s">
        <v>373</v>
      </c>
      <c r="C96" s="554" t="s">
        <v>374</v>
      </c>
      <c r="D96" s="554"/>
      <c r="E96" s="554"/>
      <c r="F96" s="554"/>
      <c r="G96" s="905">
        <f>G86-G46</f>
        <v>0</v>
      </c>
      <c r="H96" s="905">
        <f>H86-H46</f>
        <v>0</v>
      </c>
      <c r="I96" s="890">
        <f>I86-I46</f>
        <v>0</v>
      </c>
    </row>
    <row r="97" spans="1:9" ht="12.75">
      <c r="A97" s="904"/>
      <c r="B97" s="554"/>
      <c r="C97" s="554" t="s">
        <v>375</v>
      </c>
      <c r="D97" s="554"/>
      <c r="E97" s="554"/>
      <c r="F97" s="554"/>
      <c r="G97" s="905"/>
      <c r="H97" s="905"/>
      <c r="I97" s="890"/>
    </row>
    <row r="98" spans="1:9" ht="12.75">
      <c r="A98" s="904"/>
      <c r="B98" s="554"/>
      <c r="C98" s="554"/>
      <c r="D98" s="554"/>
      <c r="E98" s="554"/>
      <c r="F98" s="554"/>
      <c r="G98" s="905"/>
      <c r="H98" s="905"/>
      <c r="I98" s="890"/>
    </row>
    <row r="99" spans="1:9" ht="12.75">
      <c r="A99" s="904"/>
      <c r="B99" s="554" t="s">
        <v>376</v>
      </c>
      <c r="C99" s="554" t="s">
        <v>377</v>
      </c>
      <c r="D99" s="554"/>
      <c r="E99" s="554"/>
      <c r="F99" s="554"/>
      <c r="G99" s="905">
        <f>G87-G47</f>
        <v>0</v>
      </c>
      <c r="H99" s="905">
        <f>H87-H47</f>
        <v>0</v>
      </c>
      <c r="I99" s="890">
        <f>I87-I47</f>
        <v>-94535</v>
      </c>
    </row>
    <row r="100" spans="1:9" ht="12.75">
      <c r="A100" s="906"/>
      <c r="B100" s="907"/>
      <c r="C100" s="907"/>
      <c r="D100" s="907"/>
      <c r="E100" s="907"/>
      <c r="F100" s="907"/>
      <c r="G100" s="909"/>
      <c r="H100" s="909"/>
      <c r="I100" s="910"/>
    </row>
  </sheetData>
  <mergeCells count="17">
    <mergeCell ref="H1:I1"/>
    <mergeCell ref="A2:I2"/>
    <mergeCell ref="A5:F5"/>
    <mergeCell ref="A6:F9"/>
    <mergeCell ref="G6:G7"/>
    <mergeCell ref="H6:H7"/>
    <mergeCell ref="I6:I7"/>
    <mergeCell ref="A42:F42"/>
    <mergeCell ref="A43:F44"/>
    <mergeCell ref="G43:G44"/>
    <mergeCell ref="H43:H44"/>
    <mergeCell ref="I43:I44"/>
    <mergeCell ref="A81:F81"/>
    <mergeCell ref="A82:F83"/>
    <mergeCell ref="G82:G83"/>
    <mergeCell ref="H82:H83"/>
    <mergeCell ref="I82:I83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landscape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5">
      <selection activeCell="H50" sqref="H50"/>
    </sheetView>
  </sheetViews>
  <sheetFormatPr defaultColWidth="9.140625" defaultRowHeight="12.75"/>
  <cols>
    <col min="1" max="1" width="2.421875" style="1" customWidth="1"/>
    <col min="2" max="2" width="3.28125" style="1" customWidth="1"/>
    <col min="6" max="6" width="34.140625" style="1" customWidth="1"/>
    <col min="7" max="7" width="14.140625" style="1" customWidth="1"/>
    <col min="8" max="8" width="14.28125" style="1" customWidth="1"/>
  </cols>
  <sheetData>
    <row r="1" spans="1:8" ht="14.25">
      <c r="A1" s="2"/>
      <c r="B1" s="2"/>
      <c r="C1" s="2"/>
      <c r="D1" s="2"/>
      <c r="E1" s="2"/>
      <c r="F1" s="2"/>
      <c r="G1" s="2"/>
      <c r="H1" s="109" t="s">
        <v>378</v>
      </c>
    </row>
    <row r="2" spans="1:8" ht="14.25">
      <c r="A2" s="2"/>
      <c r="B2" s="2"/>
      <c r="C2" s="2"/>
      <c r="D2" s="2"/>
      <c r="E2" s="2"/>
      <c r="F2" s="2"/>
      <c r="G2" s="2"/>
      <c r="H2" s="109"/>
    </row>
    <row r="3" spans="1:8" ht="14.25">
      <c r="A3" s="2"/>
      <c r="B3" s="2"/>
      <c r="C3" s="2"/>
      <c r="D3" s="2"/>
      <c r="E3" s="2"/>
      <c r="F3" s="2"/>
      <c r="G3" s="2"/>
      <c r="H3" s="916"/>
    </row>
    <row r="4" spans="1:8" ht="15">
      <c r="A4" s="1053" t="s">
        <v>379</v>
      </c>
      <c r="B4" s="1053"/>
      <c r="C4" s="1053"/>
      <c r="D4" s="1053"/>
      <c r="E4" s="1053"/>
      <c r="F4" s="1053"/>
      <c r="G4" s="1053"/>
      <c r="H4" s="1053"/>
    </row>
    <row r="5" spans="1:8" ht="15">
      <c r="A5" s="5"/>
      <c r="B5" s="5"/>
      <c r="C5" s="5"/>
      <c r="D5" s="5"/>
      <c r="E5" s="5"/>
      <c r="F5" s="5"/>
      <c r="G5" s="5"/>
      <c r="H5" s="5"/>
    </row>
    <row r="6" spans="1:8" ht="15">
      <c r="A6" s="5"/>
      <c r="B6" s="5"/>
      <c r="C6" s="5"/>
      <c r="D6" s="5"/>
      <c r="E6" s="5"/>
      <c r="F6" s="5"/>
      <c r="G6" s="5"/>
      <c r="H6" s="5"/>
    </row>
    <row r="7" spans="1:8" ht="15">
      <c r="A7" s="5"/>
      <c r="B7" s="5"/>
      <c r="C7" s="5"/>
      <c r="D7" s="5"/>
      <c r="E7" s="5"/>
      <c r="F7" s="5"/>
      <c r="G7" s="5"/>
      <c r="H7" s="109" t="s">
        <v>1305</v>
      </c>
    </row>
    <row r="8" spans="1:8" ht="15.75" customHeight="1">
      <c r="A8" s="1054" t="s">
        <v>960</v>
      </c>
      <c r="B8" s="1054"/>
      <c r="C8" s="1054"/>
      <c r="D8" s="1054"/>
      <c r="E8" s="1054"/>
      <c r="F8" s="1054"/>
      <c r="G8" s="8" t="s">
        <v>961</v>
      </c>
      <c r="H8" s="10" t="s">
        <v>962</v>
      </c>
    </row>
    <row r="9" spans="1:8" ht="12.75">
      <c r="A9" s="1196" t="s">
        <v>319</v>
      </c>
      <c r="B9" s="1196"/>
      <c r="C9" s="1196"/>
      <c r="D9" s="1196"/>
      <c r="E9" s="1196"/>
      <c r="F9" s="1196"/>
      <c r="G9" s="1197" t="s">
        <v>380</v>
      </c>
      <c r="H9" s="1198" t="s">
        <v>381</v>
      </c>
    </row>
    <row r="10" spans="1:8" ht="12.75">
      <c r="A10" s="1196"/>
      <c r="B10" s="1196"/>
      <c r="C10" s="1196"/>
      <c r="D10" s="1196"/>
      <c r="E10" s="1196"/>
      <c r="F10" s="1196"/>
      <c r="G10" s="1197"/>
      <c r="H10" s="1198"/>
    </row>
    <row r="11" spans="1:8" ht="12.75">
      <c r="A11" s="1196"/>
      <c r="B11" s="1196"/>
      <c r="C11" s="1196"/>
      <c r="D11" s="1196"/>
      <c r="E11" s="1196"/>
      <c r="F11" s="1196"/>
      <c r="G11" s="883"/>
      <c r="H11" s="917"/>
    </row>
    <row r="12" spans="1:8" ht="12.75">
      <c r="A12" s="1196"/>
      <c r="B12" s="1196"/>
      <c r="C12" s="1196"/>
      <c r="D12" s="1196"/>
      <c r="E12" s="1196"/>
      <c r="F12" s="1196"/>
      <c r="G12" s="883"/>
      <c r="H12" s="917"/>
    </row>
    <row r="13" spans="1:8" ht="12.75">
      <c r="A13" s="885"/>
      <c r="B13" s="802"/>
      <c r="C13" s="802"/>
      <c r="D13" s="802"/>
      <c r="E13" s="802"/>
      <c r="F13" s="886"/>
      <c r="G13" s="887"/>
      <c r="H13" s="888"/>
    </row>
    <row r="14" spans="1:8" ht="12.75">
      <c r="A14" s="808"/>
      <c r="B14" s="809" t="s">
        <v>987</v>
      </c>
      <c r="C14" s="809" t="s">
        <v>382</v>
      </c>
      <c r="D14" s="809"/>
      <c r="E14" s="809"/>
      <c r="F14" s="889"/>
      <c r="G14" s="811">
        <v>295816</v>
      </c>
      <c r="H14" s="918">
        <v>46203</v>
      </c>
    </row>
    <row r="15" spans="1:8" ht="12.75">
      <c r="A15" s="808"/>
      <c r="B15" s="809"/>
      <c r="C15" s="809"/>
      <c r="D15" s="809"/>
      <c r="E15" s="809"/>
      <c r="F15" s="889"/>
      <c r="G15" s="811"/>
      <c r="H15" s="918"/>
    </row>
    <row r="16" spans="1:8" ht="12.75">
      <c r="A16" s="808"/>
      <c r="B16" s="809" t="s">
        <v>1030</v>
      </c>
      <c r="C16" s="809" t="s">
        <v>383</v>
      </c>
      <c r="D16" s="809"/>
      <c r="E16" s="809"/>
      <c r="F16" s="889"/>
      <c r="G16" s="811">
        <v>-101937</v>
      </c>
      <c r="H16" s="918">
        <v>-192314</v>
      </c>
    </row>
    <row r="17" spans="1:8" ht="12.75">
      <c r="A17" s="808"/>
      <c r="B17" s="809"/>
      <c r="C17" s="809"/>
      <c r="D17" s="809"/>
      <c r="E17" s="809"/>
      <c r="F17" s="889"/>
      <c r="G17" s="811"/>
      <c r="H17" s="918"/>
    </row>
    <row r="18" spans="1:8" ht="12.75">
      <c r="A18" s="808"/>
      <c r="B18" s="809" t="s">
        <v>1074</v>
      </c>
      <c r="C18" s="809" t="s">
        <v>384</v>
      </c>
      <c r="D18" s="809"/>
      <c r="E18" s="809"/>
      <c r="F18" s="889"/>
      <c r="G18" s="811">
        <v>73146</v>
      </c>
      <c r="H18" s="918">
        <v>167681</v>
      </c>
    </row>
    <row r="19" spans="1:8" ht="12.75">
      <c r="A19" s="808"/>
      <c r="B19" s="809"/>
      <c r="C19" s="809"/>
      <c r="D19" s="809"/>
      <c r="E19" s="809"/>
      <c r="F19" s="889"/>
      <c r="G19" s="811"/>
      <c r="H19" s="918"/>
    </row>
    <row r="20" spans="1:8" ht="12.75">
      <c r="A20" s="808"/>
      <c r="B20" s="809" t="s">
        <v>1168</v>
      </c>
      <c r="C20" s="809" t="s">
        <v>385</v>
      </c>
      <c r="D20" s="809"/>
      <c r="E20" s="809"/>
      <c r="F20" s="889"/>
      <c r="G20" s="811">
        <v>50168</v>
      </c>
      <c r="H20" s="918">
        <v>-5265</v>
      </c>
    </row>
    <row r="21" spans="1:8" ht="12.75">
      <c r="A21" s="808"/>
      <c r="B21" s="809"/>
      <c r="C21" s="809"/>
      <c r="D21" s="809"/>
      <c r="E21" s="809"/>
      <c r="F21" s="889"/>
      <c r="G21" s="811"/>
      <c r="H21" s="918"/>
    </row>
    <row r="22" spans="1:8" ht="12.75">
      <c r="A22" s="808"/>
      <c r="B22" s="809" t="s">
        <v>1169</v>
      </c>
      <c r="C22" s="809" t="s">
        <v>386</v>
      </c>
      <c r="D22" s="809"/>
      <c r="E22" s="809"/>
      <c r="F22" s="889"/>
      <c r="G22" s="811">
        <v>0</v>
      </c>
      <c r="H22" s="918">
        <v>0</v>
      </c>
    </row>
    <row r="23" spans="1:8" ht="12.75">
      <c r="A23" s="808"/>
      <c r="B23" s="809"/>
      <c r="C23" s="809"/>
      <c r="D23" s="809"/>
      <c r="E23" s="809"/>
      <c r="F23" s="889"/>
      <c r="G23" s="811"/>
      <c r="H23" s="918"/>
    </row>
    <row r="24" spans="1:8" ht="12.75">
      <c r="A24" s="808"/>
      <c r="B24" s="809" t="s">
        <v>1175</v>
      </c>
      <c r="C24" s="809" t="s">
        <v>387</v>
      </c>
      <c r="D24" s="809"/>
      <c r="E24" s="809"/>
      <c r="F24" s="889"/>
      <c r="G24" s="811">
        <v>216857</v>
      </c>
      <c r="H24" s="918">
        <v>26835</v>
      </c>
    </row>
    <row r="25" spans="1:8" ht="12.75">
      <c r="A25" s="808"/>
      <c r="B25" s="809"/>
      <c r="C25" s="809"/>
      <c r="D25" s="809"/>
      <c r="E25" s="809"/>
      <c r="F25" s="889"/>
      <c r="G25" s="811"/>
      <c r="H25" s="918"/>
    </row>
    <row r="26" spans="1:8" ht="12.75">
      <c r="A26" s="808"/>
      <c r="B26" s="809" t="s">
        <v>1172</v>
      </c>
      <c r="C26" s="809" t="s">
        <v>388</v>
      </c>
      <c r="D26" s="809"/>
      <c r="E26" s="809"/>
      <c r="F26" s="889"/>
      <c r="G26" s="811">
        <v>4230</v>
      </c>
      <c r="H26" s="918">
        <v>-6083</v>
      </c>
    </row>
    <row r="27" spans="1:8" ht="12.75">
      <c r="A27" s="808"/>
      <c r="B27" s="809"/>
      <c r="C27" s="809"/>
      <c r="D27" s="809"/>
      <c r="E27" s="809"/>
      <c r="F27" s="889"/>
      <c r="G27" s="811"/>
      <c r="H27" s="918"/>
    </row>
    <row r="28" spans="1:8" ht="12.75">
      <c r="A28" s="808"/>
      <c r="B28" s="809" t="s">
        <v>1180</v>
      </c>
      <c r="C28" s="809" t="s">
        <v>389</v>
      </c>
      <c r="D28" s="809"/>
      <c r="E28" s="809"/>
      <c r="F28" s="889"/>
      <c r="G28" s="811">
        <v>0</v>
      </c>
      <c r="H28" s="918">
        <v>0</v>
      </c>
    </row>
    <row r="29" spans="1:8" ht="12.75">
      <c r="A29" s="808"/>
      <c r="B29" s="809"/>
      <c r="C29" s="809"/>
      <c r="D29" s="809"/>
      <c r="E29" s="809"/>
      <c r="F29" s="889"/>
      <c r="G29" s="811"/>
      <c r="H29" s="918"/>
    </row>
    <row r="30" spans="1:8" ht="12.75">
      <c r="A30" s="808"/>
      <c r="B30" s="809" t="s">
        <v>1183</v>
      </c>
      <c r="C30" s="809" t="s">
        <v>390</v>
      </c>
      <c r="D30" s="809"/>
      <c r="E30" s="809"/>
      <c r="F30" s="889"/>
      <c r="G30" s="811">
        <v>221087</v>
      </c>
      <c r="H30" s="918">
        <v>20752</v>
      </c>
    </row>
    <row r="31" spans="1:8" ht="12.75">
      <c r="A31" s="808"/>
      <c r="B31" s="809"/>
      <c r="C31" s="809"/>
      <c r="D31" s="809"/>
      <c r="E31" s="809"/>
      <c r="F31" s="889"/>
      <c r="G31" s="811"/>
      <c r="H31" s="918"/>
    </row>
    <row r="32" spans="1:8" ht="12.75">
      <c r="A32" s="808"/>
      <c r="B32" s="809" t="s">
        <v>1176</v>
      </c>
      <c r="C32" s="809" t="s">
        <v>391</v>
      </c>
      <c r="D32" s="809"/>
      <c r="E32" s="809"/>
      <c r="F32" s="889"/>
      <c r="G32" s="811"/>
      <c r="H32" s="918"/>
    </row>
    <row r="33" spans="1:8" ht="12.75">
      <c r="A33" s="808"/>
      <c r="B33" s="809"/>
      <c r="C33" s="809"/>
      <c r="D33" s="809"/>
      <c r="E33" s="809"/>
      <c r="F33" s="889"/>
      <c r="G33" s="811"/>
      <c r="H33" s="918"/>
    </row>
    <row r="34" spans="1:8" ht="12.75">
      <c r="A34" s="808"/>
      <c r="B34" s="809" t="s">
        <v>1178</v>
      </c>
      <c r="C34" s="809" t="s">
        <v>392</v>
      </c>
      <c r="D34" s="809"/>
      <c r="E34" s="809"/>
      <c r="F34" s="889"/>
      <c r="G34" s="811"/>
      <c r="H34" s="918"/>
    </row>
    <row r="35" spans="1:8" ht="12.75">
      <c r="A35" s="808"/>
      <c r="B35" s="809"/>
      <c r="C35" s="809"/>
      <c r="D35" s="809"/>
      <c r="E35" s="809"/>
      <c r="F35" s="889"/>
      <c r="G35" s="811"/>
      <c r="H35" s="918"/>
    </row>
    <row r="36" spans="1:8" ht="12.75">
      <c r="A36" s="808"/>
      <c r="B36" s="809" t="s">
        <v>1181</v>
      </c>
      <c r="C36" s="809" t="s">
        <v>393</v>
      </c>
      <c r="D36" s="809"/>
      <c r="E36" s="809"/>
      <c r="F36" s="889"/>
      <c r="G36" s="811">
        <v>221087</v>
      </c>
      <c r="H36" s="918">
        <v>20752</v>
      </c>
    </row>
    <row r="37" spans="1:8" ht="12.75">
      <c r="A37" s="808"/>
      <c r="B37" s="809"/>
      <c r="C37" s="809"/>
      <c r="D37" s="809"/>
      <c r="E37" s="809"/>
      <c r="F37" s="889"/>
      <c r="G37" s="811"/>
      <c r="H37" s="918"/>
    </row>
    <row r="38" spans="1:8" ht="12.75">
      <c r="A38" s="808"/>
      <c r="B38" s="809" t="s">
        <v>1184</v>
      </c>
      <c r="C38" s="809" t="s">
        <v>394</v>
      </c>
      <c r="D38" s="809"/>
      <c r="E38" s="809"/>
      <c r="F38" s="889"/>
      <c r="G38" s="811"/>
      <c r="H38" s="918"/>
    </row>
    <row r="39" spans="1:8" ht="12.75">
      <c r="A39" s="808"/>
      <c r="B39" s="809"/>
      <c r="C39" s="809"/>
      <c r="D39" s="809"/>
      <c r="E39" s="809"/>
      <c r="F39" s="889"/>
      <c r="G39" s="811"/>
      <c r="H39" s="918"/>
    </row>
    <row r="40" spans="1:8" ht="12.75">
      <c r="A40" s="808"/>
      <c r="B40" s="809" t="s">
        <v>1319</v>
      </c>
      <c r="C40" s="809" t="s">
        <v>395</v>
      </c>
      <c r="D40" s="809"/>
      <c r="E40" s="809"/>
      <c r="F40" s="889"/>
      <c r="G40" s="811">
        <v>221087</v>
      </c>
      <c r="H40" s="918">
        <v>20752</v>
      </c>
    </row>
    <row r="41" spans="1:8" ht="12.75">
      <c r="A41" s="879"/>
      <c r="B41" s="880"/>
      <c r="C41" s="919"/>
      <c r="D41" s="880"/>
      <c r="E41" s="880"/>
      <c r="F41" s="920"/>
      <c r="G41" s="892"/>
      <c r="H41" s="882"/>
    </row>
    <row r="42" spans="1:8" ht="12.75">
      <c r="A42" s="904"/>
      <c r="B42" s="554" t="s">
        <v>1321</v>
      </c>
      <c r="C42" s="1" t="s">
        <v>396</v>
      </c>
      <c r="G42" s="83"/>
      <c r="H42" s="179"/>
    </row>
    <row r="43" spans="1:8" ht="12.75">
      <c r="A43" s="906"/>
      <c r="B43" s="907"/>
      <c r="C43" s="907"/>
      <c r="D43" s="907"/>
      <c r="E43" s="907"/>
      <c r="F43" s="907"/>
      <c r="G43" s="174"/>
      <c r="H43" s="175"/>
    </row>
  </sheetData>
  <mergeCells count="5">
    <mergeCell ref="A4:H4"/>
    <mergeCell ref="A8:F8"/>
    <mergeCell ref="A9:F12"/>
    <mergeCell ref="G9:G10"/>
    <mergeCell ref="H9:H1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E26" sqref="E26"/>
    </sheetView>
  </sheetViews>
  <sheetFormatPr defaultColWidth="9.140625" defaultRowHeight="12.75"/>
  <cols>
    <col min="1" max="1" width="4.140625" style="1" customWidth="1"/>
    <col min="2" max="2" width="24.421875" style="1" customWidth="1"/>
    <col min="3" max="8" width="11.7109375" style="1" customWidth="1"/>
  </cols>
  <sheetData>
    <row r="1" spans="1:8" ht="13.5" customHeight="1">
      <c r="A1" s="921"/>
      <c r="B1" s="922"/>
      <c r="C1" s="922"/>
      <c r="D1" s="922"/>
      <c r="F1" s="1203" t="s">
        <v>397</v>
      </c>
      <c r="G1" s="1203"/>
      <c r="H1" s="1203"/>
    </row>
    <row r="2" spans="1:5" ht="12.75">
      <c r="A2" s="921"/>
      <c r="B2" s="922"/>
      <c r="C2" s="922"/>
      <c r="D2" s="922"/>
      <c r="E2" s="922"/>
    </row>
    <row r="3" spans="1:8" ht="15">
      <c r="A3" s="983" t="s">
        <v>398</v>
      </c>
      <c r="B3" s="983"/>
      <c r="C3" s="983"/>
      <c r="D3" s="983"/>
      <c r="E3" s="983"/>
      <c r="F3" s="983"/>
      <c r="G3" s="983"/>
      <c r="H3" s="983"/>
    </row>
    <row r="4" spans="1:5" ht="12.75">
      <c r="A4" s="923"/>
      <c r="B4" s="923"/>
      <c r="C4" s="923"/>
      <c r="D4" s="923"/>
      <c r="E4" s="923"/>
    </row>
    <row r="5" spans="1:4" ht="12.75">
      <c r="A5" s="921"/>
      <c r="B5" s="922"/>
      <c r="C5" s="922"/>
      <c r="D5" s="922"/>
    </row>
    <row r="6" spans="1:8" ht="14.25">
      <c r="A6" s="921"/>
      <c r="B6" s="922"/>
      <c r="C6" s="922"/>
      <c r="D6" s="922"/>
      <c r="H6" s="868" t="s">
        <v>1305</v>
      </c>
    </row>
    <row r="7" spans="1:8" ht="13.5" customHeight="1">
      <c r="A7" s="977" t="s">
        <v>960</v>
      </c>
      <c r="B7" s="977"/>
      <c r="C7" s="658" t="s">
        <v>961</v>
      </c>
      <c r="D7" s="658" t="s">
        <v>962</v>
      </c>
      <c r="E7" s="658" t="s">
        <v>963</v>
      </c>
      <c r="F7" s="10" t="s">
        <v>964</v>
      </c>
      <c r="G7" s="10" t="s">
        <v>965</v>
      </c>
      <c r="H7" s="10" t="s">
        <v>966</v>
      </c>
    </row>
    <row r="8" spans="1:8" ht="32.25" customHeight="1">
      <c r="A8" s="1204" t="s">
        <v>399</v>
      </c>
      <c r="B8" s="1204"/>
      <c r="C8" s="1204" t="s">
        <v>400</v>
      </c>
      <c r="D8" s="1204"/>
      <c r="E8" s="1204"/>
      <c r="F8" s="1205" t="s">
        <v>401</v>
      </c>
      <c r="G8" s="1205"/>
      <c r="H8" s="1205"/>
    </row>
    <row r="9" spans="1:8" ht="12.75" customHeight="1" hidden="1">
      <c r="A9" s="1204"/>
      <c r="B9" s="1204"/>
      <c r="C9" s="1204"/>
      <c r="D9" s="1204"/>
      <c r="E9" s="1204"/>
      <c r="F9" s="1205"/>
      <c r="G9" s="1205"/>
      <c r="H9" s="1205"/>
    </row>
    <row r="10" spans="1:8" ht="12.75">
      <c r="A10" s="1204"/>
      <c r="B10" s="1204"/>
      <c r="C10" s="1204"/>
      <c r="D10" s="1204"/>
      <c r="E10" s="1204"/>
      <c r="F10" s="1205"/>
      <c r="G10" s="1205"/>
      <c r="H10" s="1205"/>
    </row>
    <row r="11" spans="1:8" ht="14.25">
      <c r="A11" s="924"/>
      <c r="B11" s="881"/>
      <c r="C11" s="925" t="s">
        <v>1084</v>
      </c>
      <c r="D11" s="925" t="s">
        <v>978</v>
      </c>
      <c r="E11" s="925" t="s">
        <v>979</v>
      </c>
      <c r="F11" s="926" t="s">
        <v>1084</v>
      </c>
      <c r="G11" s="926" t="s">
        <v>978</v>
      </c>
      <c r="H11" s="926" t="s">
        <v>979</v>
      </c>
    </row>
    <row r="12" spans="1:8" ht="14.25">
      <c r="A12" s="927" t="s">
        <v>987</v>
      </c>
      <c r="B12" s="928" t="s">
        <v>402</v>
      </c>
      <c r="C12" s="1200">
        <v>64763</v>
      </c>
      <c r="D12" s="1200">
        <v>64763</v>
      </c>
      <c r="E12" s="1200">
        <v>56236</v>
      </c>
      <c r="F12" s="1202">
        <v>41241</v>
      </c>
      <c r="G12" s="1199">
        <v>41558</v>
      </c>
      <c r="H12" s="1202">
        <v>41558</v>
      </c>
    </row>
    <row r="13" spans="1:8" ht="14.25">
      <c r="A13" s="927"/>
      <c r="B13" s="929" t="s">
        <v>403</v>
      </c>
      <c r="C13" s="1200"/>
      <c r="D13" s="1200"/>
      <c r="E13" s="1200"/>
      <c r="F13" s="1202"/>
      <c r="G13" s="1199"/>
      <c r="H13" s="1202"/>
    </row>
    <row r="14" spans="1:8" ht="14.25">
      <c r="A14" s="930"/>
      <c r="B14" s="931" t="s">
        <v>1233</v>
      </c>
      <c r="C14" s="1200"/>
      <c r="D14" s="1200"/>
      <c r="E14" s="1200"/>
      <c r="F14" s="1202"/>
      <c r="G14" s="1199"/>
      <c r="H14" s="1202"/>
    </row>
    <row r="15" spans="1:8" ht="14.25">
      <c r="A15" s="932" t="s">
        <v>1030</v>
      </c>
      <c r="B15" s="612" t="s">
        <v>404</v>
      </c>
      <c r="C15" s="1201"/>
      <c r="D15" s="1201"/>
      <c r="E15" s="1201">
        <v>14172</v>
      </c>
      <c r="F15" s="1199">
        <v>64390</v>
      </c>
      <c r="G15" s="1199">
        <v>18296</v>
      </c>
      <c r="H15" s="1199">
        <v>18296</v>
      </c>
    </row>
    <row r="16" spans="1:8" ht="14.25">
      <c r="A16" s="927"/>
      <c r="B16" s="612" t="s">
        <v>405</v>
      </c>
      <c r="C16" s="1201"/>
      <c r="D16" s="1201"/>
      <c r="E16" s="1201"/>
      <c r="F16" s="1199"/>
      <c r="G16" s="1199"/>
      <c r="H16" s="1199"/>
    </row>
    <row r="17" spans="1:8" ht="14.25">
      <c r="A17" s="930"/>
      <c r="B17" s="933" t="s">
        <v>406</v>
      </c>
      <c r="C17" s="1201"/>
      <c r="D17" s="1201"/>
      <c r="E17" s="1201"/>
      <c r="F17" s="1199"/>
      <c r="G17" s="1199"/>
      <c r="H17" s="1199"/>
    </row>
    <row r="18" spans="1:8" ht="15">
      <c r="A18" s="934" t="s">
        <v>1074</v>
      </c>
      <c r="B18" s="935" t="s">
        <v>407</v>
      </c>
      <c r="C18" s="936">
        <f aca="true" t="shared" si="0" ref="C18:H18">SUM(C12:C17)</f>
        <v>64763</v>
      </c>
      <c r="D18" s="936">
        <f t="shared" si="0"/>
        <v>64763</v>
      </c>
      <c r="E18" s="936">
        <f t="shared" si="0"/>
        <v>70408</v>
      </c>
      <c r="F18" s="937">
        <f t="shared" si="0"/>
        <v>105631</v>
      </c>
      <c r="G18" s="937">
        <f t="shared" si="0"/>
        <v>59854</v>
      </c>
      <c r="H18" s="937">
        <f t="shared" si="0"/>
        <v>59854</v>
      </c>
    </row>
    <row r="22" spans="1:5" ht="14.25">
      <c r="A22" s="938"/>
      <c r="B22" s="867"/>
      <c r="C22" s="867"/>
      <c r="D22" s="867"/>
      <c r="E22" s="868"/>
    </row>
    <row r="23" spans="1:5" ht="14.25">
      <c r="A23" s="938"/>
      <c r="B23" s="867"/>
      <c r="C23" s="867"/>
      <c r="D23" s="867"/>
      <c r="E23" s="867"/>
    </row>
  </sheetData>
  <mergeCells count="18">
    <mergeCell ref="G12:G14"/>
    <mergeCell ref="H12:H14"/>
    <mergeCell ref="F1:H1"/>
    <mergeCell ref="A3:H3"/>
    <mergeCell ref="A7:B7"/>
    <mergeCell ref="A8:B10"/>
    <mergeCell ref="C8:E10"/>
    <mergeCell ref="F8:H10"/>
    <mergeCell ref="G15:G17"/>
    <mergeCell ref="H15:H17"/>
    <mergeCell ref="C12:C14"/>
    <mergeCell ref="D12:D14"/>
    <mergeCell ref="C15:C17"/>
    <mergeCell ref="D15:D17"/>
    <mergeCell ref="E15:E17"/>
    <mergeCell ref="F15:F17"/>
    <mergeCell ref="E12:E14"/>
    <mergeCell ref="F12:F14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22">
      <selection activeCell="D33" sqref="D33"/>
    </sheetView>
  </sheetViews>
  <sheetFormatPr defaultColWidth="9.140625" defaultRowHeight="12.75"/>
  <cols>
    <col min="1" max="1" width="24.140625" style="1" customWidth="1"/>
    <col min="2" max="3" width="23.140625" style="1" customWidth="1"/>
    <col min="4" max="4" width="48.00390625" style="1" customWidth="1"/>
    <col min="5" max="5" width="23.140625" style="1" customWidth="1"/>
  </cols>
  <sheetData>
    <row r="1" ht="14.25">
      <c r="E1" s="616" t="s">
        <v>408</v>
      </c>
    </row>
    <row r="3" spans="1:5" ht="15">
      <c r="A3" s="1206" t="s">
        <v>409</v>
      </c>
      <c r="B3" s="1206"/>
      <c r="C3" s="1206"/>
      <c r="D3" s="1206"/>
      <c r="E3" s="1206"/>
    </row>
    <row r="4" spans="1:5" ht="15">
      <c r="A4" s="1206" t="s">
        <v>410</v>
      </c>
      <c r="B4" s="1206"/>
      <c r="C4" s="1206"/>
      <c r="D4" s="1206"/>
      <c r="E4" s="1206"/>
    </row>
    <row r="5" spans="1:5" ht="15">
      <c r="A5" s="939"/>
      <c r="B5" s="939"/>
      <c r="C5" s="939"/>
      <c r="D5" s="939"/>
      <c r="E5" s="940" t="s">
        <v>411</v>
      </c>
    </row>
    <row r="6" spans="1:5" ht="14.25">
      <c r="A6" s="941" t="s">
        <v>960</v>
      </c>
      <c r="B6" s="941" t="s">
        <v>961</v>
      </c>
      <c r="C6" s="941" t="s">
        <v>962</v>
      </c>
      <c r="D6" s="941" t="s">
        <v>963</v>
      </c>
      <c r="E6" s="10" t="s">
        <v>964</v>
      </c>
    </row>
    <row r="7" spans="1:5" ht="15">
      <c r="A7" s="942"/>
      <c r="B7" s="1207" t="s">
        <v>412</v>
      </c>
      <c r="C7" s="1207"/>
      <c r="D7" s="1207" t="s">
        <v>413</v>
      </c>
      <c r="E7" s="1207"/>
    </row>
    <row r="8" spans="1:5" ht="12.75" customHeight="1">
      <c r="A8" s="1205" t="s">
        <v>414</v>
      </c>
      <c r="B8" s="1205" t="s">
        <v>1083</v>
      </c>
      <c r="C8" s="1205" t="s">
        <v>415</v>
      </c>
      <c r="D8" s="1205" t="s">
        <v>1083</v>
      </c>
      <c r="E8" s="1205" t="s">
        <v>287</v>
      </c>
    </row>
    <row r="9" spans="1:5" ht="13.5" customHeight="1">
      <c r="A9" s="1205"/>
      <c r="B9" s="1205"/>
      <c r="C9" s="1205"/>
      <c r="D9" s="1205"/>
      <c r="E9" s="1205"/>
    </row>
    <row r="10" spans="1:5" ht="15">
      <c r="A10" s="943" t="s">
        <v>416</v>
      </c>
      <c r="B10" s="944"/>
      <c r="C10" s="945"/>
      <c r="D10" s="944"/>
      <c r="E10" s="946"/>
    </row>
    <row r="11" spans="1:5" ht="14.25">
      <c r="A11" s="138" t="s">
        <v>417</v>
      </c>
      <c r="B11" s="944"/>
      <c r="C11" s="181">
        <v>26694170</v>
      </c>
      <c r="D11" s="944"/>
      <c r="E11" s="946"/>
    </row>
    <row r="12" spans="1:5" ht="15">
      <c r="A12" s="138" t="s">
        <v>418</v>
      </c>
      <c r="B12" s="947"/>
      <c r="C12" s="945">
        <v>35239960</v>
      </c>
      <c r="D12" s="948"/>
      <c r="E12" s="949"/>
    </row>
    <row r="13" spans="1:5" ht="15">
      <c r="A13" s="950"/>
      <c r="B13" s="944"/>
      <c r="C13" s="181"/>
      <c r="D13" s="944"/>
      <c r="E13" s="946"/>
    </row>
    <row r="14" spans="1:5" ht="15">
      <c r="A14" s="943" t="s">
        <v>419</v>
      </c>
      <c r="B14" s="944"/>
      <c r="C14" s="945"/>
      <c r="D14" s="944"/>
      <c r="E14" s="951"/>
    </row>
    <row r="15" spans="1:5" ht="14.25">
      <c r="A15" s="138" t="s">
        <v>420</v>
      </c>
      <c r="B15" s="944"/>
      <c r="C15" s="181">
        <v>35239960</v>
      </c>
      <c r="D15" s="944"/>
      <c r="E15" s="951"/>
    </row>
    <row r="16" spans="1:5" ht="14.25">
      <c r="A16" s="138" t="s">
        <v>421</v>
      </c>
      <c r="B16" s="944"/>
      <c r="C16" s="181">
        <v>466643</v>
      </c>
      <c r="D16" s="944"/>
      <c r="E16" s="952"/>
    </row>
    <row r="17" spans="1:5" ht="15">
      <c r="A17" s="953"/>
      <c r="B17" s="948"/>
      <c r="C17" s="954"/>
      <c r="D17" s="948"/>
      <c r="E17" s="955"/>
    </row>
    <row r="18" spans="1:5" ht="15">
      <c r="A18" s="956" t="s">
        <v>422</v>
      </c>
      <c r="B18" s="944"/>
      <c r="C18" s="181"/>
      <c r="D18" s="944"/>
      <c r="E18" s="952"/>
    </row>
    <row r="19" spans="1:5" ht="15">
      <c r="A19" s="138" t="s">
        <v>423</v>
      </c>
      <c r="B19" s="944"/>
      <c r="C19" s="954">
        <v>466643</v>
      </c>
      <c r="D19" s="944"/>
      <c r="E19" s="951"/>
    </row>
    <row r="20" spans="1:5" ht="14.25">
      <c r="A20" s="138"/>
      <c r="B20" s="944"/>
      <c r="C20" s="181"/>
      <c r="D20" s="944"/>
      <c r="E20" s="951"/>
    </row>
    <row r="21" spans="1:5" ht="15">
      <c r="A21" s="943"/>
      <c r="B21" s="944" t="s">
        <v>424</v>
      </c>
      <c r="C21" s="945">
        <v>61877</v>
      </c>
      <c r="D21" s="944"/>
      <c r="E21" s="951"/>
    </row>
    <row r="22" spans="1:5" ht="14.25">
      <c r="A22" s="138"/>
      <c r="B22" s="944" t="s">
        <v>425</v>
      </c>
      <c r="C22" s="945">
        <v>3643</v>
      </c>
      <c r="D22" s="944"/>
      <c r="E22" s="957"/>
    </row>
    <row r="23" spans="1:5" ht="14.25">
      <c r="A23" s="138"/>
      <c r="B23" s="944" t="s">
        <v>426</v>
      </c>
      <c r="C23" s="181">
        <v>57261</v>
      </c>
      <c r="D23" s="944"/>
      <c r="E23" s="957"/>
    </row>
    <row r="24" spans="1:5" ht="14.25">
      <c r="A24" s="138"/>
      <c r="B24" s="944" t="s">
        <v>427</v>
      </c>
      <c r="C24" s="181">
        <v>3268</v>
      </c>
      <c r="D24" s="181"/>
      <c r="E24" s="951"/>
    </row>
    <row r="25" spans="1:5" ht="14.25">
      <c r="A25" s="138"/>
      <c r="B25" s="944" t="s">
        <v>428</v>
      </c>
      <c r="C25" s="181">
        <v>183850</v>
      </c>
      <c r="D25" s="181"/>
      <c r="E25" s="952"/>
    </row>
    <row r="26" spans="1:5" ht="14.25">
      <c r="A26" s="138"/>
      <c r="B26" s="944" t="s">
        <v>429</v>
      </c>
      <c r="C26" s="945">
        <v>4148</v>
      </c>
      <c r="D26" s="181"/>
      <c r="E26" s="951"/>
    </row>
    <row r="27" spans="1:5" ht="14.25">
      <c r="A27" s="958" t="s">
        <v>430</v>
      </c>
      <c r="B27" s="125"/>
      <c r="C27" s="959">
        <f>SUM(C21:C26)</f>
        <v>314047</v>
      </c>
      <c r="D27" s="206"/>
      <c r="E27" s="207"/>
    </row>
    <row r="28" spans="1:5" ht="14.25">
      <c r="A28" s="958"/>
      <c r="B28" s="944"/>
      <c r="C28" s="959"/>
      <c r="D28" s="206" t="s">
        <v>431</v>
      </c>
      <c r="E28" s="207">
        <v>80000</v>
      </c>
    </row>
    <row r="29" spans="1:5" ht="14.25">
      <c r="A29" s="958"/>
      <c r="B29" s="125"/>
      <c r="C29" s="959"/>
      <c r="D29" s="206" t="s">
        <v>432</v>
      </c>
      <c r="E29" s="207">
        <v>20000</v>
      </c>
    </row>
    <row r="30" spans="1:5" ht="14.25">
      <c r="A30" s="958" t="s">
        <v>433</v>
      </c>
      <c r="B30" s="960"/>
      <c r="C30" s="206"/>
      <c r="D30" s="206"/>
      <c r="E30" s="961">
        <f>SUM(E28:E29)</f>
        <v>100000</v>
      </c>
    </row>
    <row r="31" spans="1:5" ht="14.25">
      <c r="A31" s="958"/>
      <c r="B31" s="960"/>
      <c r="C31" s="206"/>
      <c r="D31" s="206"/>
      <c r="E31" s="961"/>
    </row>
    <row r="32" spans="1:5" ht="15">
      <c r="A32" s="958" t="s">
        <v>434</v>
      </c>
      <c r="B32" s="960"/>
      <c r="C32" s="962">
        <f>C19+C27-E30</f>
        <v>680690</v>
      </c>
      <c r="D32" s="206"/>
      <c r="E32" s="961"/>
    </row>
    <row r="33" spans="1:5" ht="15">
      <c r="A33" s="963"/>
      <c r="B33" s="960"/>
      <c r="C33" s="962"/>
      <c r="D33" s="206"/>
      <c r="E33" s="964"/>
    </row>
    <row r="34" spans="1:5" ht="15" customHeight="1">
      <c r="A34" s="965" t="s">
        <v>435</v>
      </c>
      <c r="B34" s="966"/>
      <c r="C34" s="966"/>
      <c r="D34" s="966"/>
      <c r="E34" s="967"/>
    </row>
    <row r="35" spans="1:5" ht="15.75">
      <c r="A35" s="389" t="s">
        <v>436</v>
      </c>
      <c r="B35" s="83"/>
      <c r="C35" s="240">
        <f>35968385+680690</f>
        <v>36649075</v>
      </c>
      <c r="D35" s="83"/>
      <c r="E35" s="179"/>
    </row>
    <row r="36" spans="1:5" ht="14.25">
      <c r="A36" s="968" t="s">
        <v>437</v>
      </c>
      <c r="B36" s="174"/>
      <c r="C36" s="174"/>
      <c r="D36" s="174"/>
      <c r="E36" s="175"/>
    </row>
  </sheetData>
  <mergeCells count="9">
    <mergeCell ref="A3:E3"/>
    <mergeCell ref="A4:E4"/>
    <mergeCell ref="B7:C7"/>
    <mergeCell ref="D7:E7"/>
    <mergeCell ref="E8:E9"/>
    <mergeCell ref="A8:A9"/>
    <mergeCell ref="B8:B9"/>
    <mergeCell ref="C8:C9"/>
    <mergeCell ref="D8:D9"/>
  </mergeCells>
  <printOptions horizontalCentered="1"/>
  <pageMargins left="0.7875" right="0.7875" top="0.5902777777777778" bottom="0.9840277777777778" header="0.5118055555555556" footer="0.5118055555555556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 topLeftCell="A4">
      <selection activeCell="I31" sqref="I3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2.57421875" style="1" customWidth="1"/>
    <col min="4" max="4" width="2.8515625" style="1" customWidth="1"/>
    <col min="5" max="5" width="2.57421875" style="1" customWidth="1"/>
    <col min="6" max="9" width="8.7109375" style="1" customWidth="1"/>
    <col min="10" max="10" width="19.28125" style="1" customWidth="1"/>
    <col min="11" max="14" width="11.28125" style="1" customWidth="1"/>
    <col min="15" max="16384" width="9.140625" style="1" customWidth="1"/>
  </cols>
  <sheetData>
    <row r="1" spans="2:14" ht="14.25">
      <c r="B1" s="2"/>
      <c r="C1" s="2"/>
      <c r="D1" s="2"/>
      <c r="E1" s="2"/>
      <c r="F1" s="2"/>
      <c r="G1" s="2"/>
      <c r="H1" s="2"/>
      <c r="I1" s="2"/>
      <c r="M1" s="1056" t="s">
        <v>1157</v>
      </c>
      <c r="N1" s="1056"/>
    </row>
    <row r="2" spans="2:12" ht="14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4" ht="15">
      <c r="B3" s="1053" t="s">
        <v>1158</v>
      </c>
      <c r="C3" s="1053"/>
      <c r="D3" s="1053"/>
      <c r="E3" s="1053"/>
      <c r="F3" s="1053"/>
      <c r="G3" s="1053"/>
      <c r="H3" s="1053"/>
      <c r="I3" s="1053"/>
      <c r="J3" s="1053"/>
      <c r="K3" s="1053"/>
      <c r="L3" s="1053"/>
      <c r="M3" s="1053"/>
      <c r="N3" s="1053"/>
    </row>
    <row r="4" spans="2:12" ht="15">
      <c r="B4" s="5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">
      <c r="B5" s="5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4" ht="15">
      <c r="B6" s="5"/>
      <c r="C6" s="2"/>
      <c r="D6" s="2"/>
      <c r="E6" s="2"/>
      <c r="F6" s="2"/>
      <c r="G6" s="2"/>
      <c r="H6" s="2"/>
      <c r="I6" s="2"/>
      <c r="K6" s="110"/>
      <c r="L6" s="110"/>
      <c r="N6" s="4" t="s">
        <v>1082</v>
      </c>
    </row>
    <row r="7" spans="1:14" ht="14.25">
      <c r="A7" s="10"/>
      <c r="B7" s="8" t="s">
        <v>960</v>
      </c>
      <c r="C7" s="1054" t="s">
        <v>961</v>
      </c>
      <c r="D7" s="1054"/>
      <c r="E7" s="1054"/>
      <c r="F7" s="1054"/>
      <c r="G7" s="1054"/>
      <c r="H7" s="1054"/>
      <c r="I7" s="1054"/>
      <c r="J7" s="1054"/>
      <c r="K7" s="10" t="s">
        <v>962</v>
      </c>
      <c r="L7" s="10" t="s">
        <v>963</v>
      </c>
      <c r="M7" s="10" t="s">
        <v>964</v>
      </c>
      <c r="N7" s="10" t="s">
        <v>965</v>
      </c>
    </row>
    <row r="8" spans="1:14" ht="15">
      <c r="A8" s="111" t="s">
        <v>1159</v>
      </c>
      <c r="B8" s="112" t="s">
        <v>1160</v>
      </c>
      <c r="C8" s="39"/>
      <c r="D8" s="39"/>
      <c r="E8" s="39"/>
      <c r="F8" s="39"/>
      <c r="G8" s="39"/>
      <c r="H8" s="39"/>
      <c r="I8" s="39"/>
      <c r="J8" s="44"/>
      <c r="K8" s="113" t="s">
        <v>1084</v>
      </c>
      <c r="L8" s="113" t="s">
        <v>978</v>
      </c>
      <c r="M8" s="114" t="s">
        <v>979</v>
      </c>
      <c r="N8" s="115" t="s">
        <v>979</v>
      </c>
    </row>
    <row r="9" spans="1:14" ht="14.25">
      <c r="A9" s="116"/>
      <c r="B9" s="117" t="s">
        <v>1161</v>
      </c>
      <c r="C9" s="118" t="s">
        <v>1162</v>
      </c>
      <c r="D9" s="119"/>
      <c r="E9" s="119"/>
      <c r="F9" s="119"/>
      <c r="G9" s="119"/>
      <c r="H9" s="119"/>
      <c r="I9" s="119"/>
      <c r="J9" s="120"/>
      <c r="K9" s="121" t="s">
        <v>985</v>
      </c>
      <c r="L9" s="122" t="s">
        <v>983</v>
      </c>
      <c r="M9" s="81"/>
      <c r="N9" s="123" t="s">
        <v>984</v>
      </c>
    </row>
    <row r="10" spans="1:14" ht="14.25">
      <c r="A10" s="116"/>
      <c r="B10" s="124"/>
      <c r="C10" s="2"/>
      <c r="D10" s="2"/>
      <c r="E10" s="2"/>
      <c r="F10" s="2"/>
      <c r="G10" s="2"/>
      <c r="H10" s="2"/>
      <c r="I10" s="2"/>
      <c r="J10" s="51"/>
      <c r="K10" s="121" t="s">
        <v>986</v>
      </c>
      <c r="L10" s="122"/>
      <c r="M10" s="125"/>
      <c r="N10" s="123"/>
    </row>
    <row r="11" spans="1:14" ht="14.25">
      <c r="A11" s="116"/>
      <c r="B11" s="126"/>
      <c r="C11" s="127"/>
      <c r="D11" s="127"/>
      <c r="E11" s="127"/>
      <c r="F11" s="127"/>
      <c r="G11" s="127"/>
      <c r="H11" s="127"/>
      <c r="I11" s="127"/>
      <c r="J11" s="128"/>
      <c r="K11" s="129"/>
      <c r="L11" s="130"/>
      <c r="M11" s="131"/>
      <c r="N11" s="132"/>
    </row>
    <row r="12" spans="1:14" ht="14.25">
      <c r="A12" s="133"/>
      <c r="B12" s="85"/>
      <c r="C12" s="134" t="s">
        <v>1163</v>
      </c>
      <c r="D12" s="85"/>
      <c r="E12" s="85"/>
      <c r="F12" s="85"/>
      <c r="G12" s="85"/>
      <c r="H12" s="85"/>
      <c r="I12" s="85"/>
      <c r="J12" s="85"/>
      <c r="K12" s="135"/>
      <c r="L12" s="136"/>
      <c r="M12" s="53"/>
      <c r="N12" s="34"/>
    </row>
    <row r="13" spans="1:14" ht="14.25" customHeight="1">
      <c r="A13" s="1060" t="s">
        <v>987</v>
      </c>
      <c r="B13" s="1061" t="s">
        <v>987</v>
      </c>
      <c r="C13" s="1062" t="s">
        <v>1164</v>
      </c>
      <c r="D13" s="1062"/>
      <c r="E13" s="1062"/>
      <c r="F13" s="1062"/>
      <c r="G13" s="1062"/>
      <c r="H13" s="1062"/>
      <c r="I13" s="1062"/>
      <c r="J13" s="1062"/>
      <c r="K13" s="1063">
        <v>17533</v>
      </c>
      <c r="L13" s="1057">
        <v>17533</v>
      </c>
      <c r="M13" s="1058">
        <v>17533</v>
      </c>
      <c r="N13" s="1059">
        <f>ROUND(100*M13/L13,1)</f>
        <v>100</v>
      </c>
    </row>
    <row r="14" spans="1:14" ht="14.25">
      <c r="A14" s="1060"/>
      <c r="B14" s="1061"/>
      <c r="C14" s="1064" t="s">
        <v>1165</v>
      </c>
      <c r="D14" s="1064"/>
      <c r="E14" s="1064"/>
      <c r="F14" s="1064"/>
      <c r="G14" s="1064"/>
      <c r="H14" s="1064"/>
      <c r="I14" s="1064"/>
      <c r="J14" s="1064"/>
      <c r="K14" s="1063"/>
      <c r="L14" s="1057"/>
      <c r="M14" s="1058"/>
      <c r="N14" s="1059" t="e">
        <f>ROUND(100*M14/L14,1)</f>
        <v>#DIV/0!</v>
      </c>
    </row>
    <row r="15" spans="1:14" ht="14.25">
      <c r="A15" s="138" t="s">
        <v>1030</v>
      </c>
      <c r="B15" s="139" t="s">
        <v>1030</v>
      </c>
      <c r="C15" s="85" t="s">
        <v>1166</v>
      </c>
      <c r="D15" s="85"/>
      <c r="E15" s="85"/>
      <c r="F15" s="85"/>
      <c r="G15" s="85"/>
      <c r="H15" s="85"/>
      <c r="I15" s="85"/>
      <c r="J15" s="139"/>
      <c r="K15" s="140">
        <v>20218</v>
      </c>
      <c r="L15" s="140">
        <v>20218</v>
      </c>
      <c r="M15" s="137">
        <v>20218</v>
      </c>
      <c r="N15" s="141">
        <f>ROUND(100*M15/L15,1)</f>
        <v>100</v>
      </c>
    </row>
    <row r="16" spans="1:14" ht="14.25">
      <c r="A16" s="138" t="s">
        <v>1074</v>
      </c>
      <c r="B16" s="142" t="s">
        <v>1074</v>
      </c>
      <c r="C16" s="143" t="s">
        <v>1167</v>
      </c>
      <c r="D16" s="144"/>
      <c r="E16" s="144"/>
      <c r="F16" s="144"/>
      <c r="G16" s="144"/>
      <c r="H16" s="144"/>
      <c r="I16" s="144"/>
      <c r="J16" s="145"/>
      <c r="K16" s="146">
        <v>3042</v>
      </c>
      <c r="L16" s="146">
        <v>3042</v>
      </c>
      <c r="M16" s="147">
        <v>3042</v>
      </c>
      <c r="N16" s="141">
        <f>ROUND(100*M16/L16,1)</f>
        <v>100</v>
      </c>
    </row>
    <row r="17" spans="1:14" ht="14.25">
      <c r="A17" s="138" t="s">
        <v>1168</v>
      </c>
      <c r="B17" s="139" t="s">
        <v>1169</v>
      </c>
      <c r="C17" s="85" t="s">
        <v>1170</v>
      </c>
      <c r="D17" s="85"/>
      <c r="E17" s="85"/>
      <c r="F17" s="85"/>
      <c r="G17" s="85"/>
      <c r="H17" s="85"/>
      <c r="I17" s="85"/>
      <c r="J17" s="139"/>
      <c r="K17" s="140">
        <v>18</v>
      </c>
      <c r="L17" s="140">
        <v>18</v>
      </c>
      <c r="M17" s="147">
        <v>18</v>
      </c>
      <c r="N17" s="141">
        <f>ROUND(100*M17/L17,1)</f>
        <v>100</v>
      </c>
    </row>
    <row r="18" spans="1:14" ht="14.25">
      <c r="A18" s="148"/>
      <c r="B18" s="149"/>
      <c r="C18" s="150" t="s">
        <v>1171</v>
      </c>
      <c r="D18" s="151"/>
      <c r="E18" s="151"/>
      <c r="F18" s="151"/>
      <c r="G18" s="151"/>
      <c r="H18" s="151"/>
      <c r="I18" s="151"/>
      <c r="J18" s="149"/>
      <c r="K18" s="152"/>
      <c r="L18" s="56"/>
      <c r="M18" s="53"/>
      <c r="N18" s="54"/>
    </row>
    <row r="19" spans="1:14" ht="14.25">
      <c r="A19" s="148" t="s">
        <v>1169</v>
      </c>
      <c r="B19" s="51" t="s">
        <v>1172</v>
      </c>
      <c r="C19" s="153" t="s">
        <v>1173</v>
      </c>
      <c r="D19" s="2"/>
      <c r="E19" s="2"/>
      <c r="F19" s="2"/>
      <c r="G19" s="2"/>
      <c r="H19" s="2"/>
      <c r="I19" s="2"/>
      <c r="J19" s="51"/>
      <c r="K19" s="56">
        <v>20531</v>
      </c>
      <c r="L19" s="56">
        <v>20531</v>
      </c>
      <c r="M19" s="53">
        <v>20531</v>
      </c>
      <c r="N19" s="54">
        <f>ROUND(100*M19/L19,1)</f>
        <v>100</v>
      </c>
    </row>
    <row r="20" spans="1:14" ht="14.25">
      <c r="A20" s="148"/>
      <c r="B20" s="139"/>
      <c r="C20" s="85" t="s">
        <v>1174</v>
      </c>
      <c r="D20" s="85"/>
      <c r="E20" s="85"/>
      <c r="F20" s="85"/>
      <c r="G20" s="85"/>
      <c r="H20" s="85"/>
      <c r="I20" s="85"/>
      <c r="J20" s="85"/>
      <c r="K20" s="140"/>
      <c r="L20" s="56"/>
      <c r="M20" s="53"/>
      <c r="N20" s="54"/>
    </row>
    <row r="21" spans="1:14" ht="14.25">
      <c r="A21" s="138" t="s">
        <v>1175</v>
      </c>
      <c r="B21" s="145" t="s">
        <v>1176</v>
      </c>
      <c r="C21" s="85" t="s">
        <v>1177</v>
      </c>
      <c r="D21" s="85"/>
      <c r="E21" s="85"/>
      <c r="F21" s="85"/>
      <c r="G21" s="85"/>
      <c r="H21" s="85"/>
      <c r="I21" s="85"/>
      <c r="J21" s="139"/>
      <c r="K21" s="140">
        <v>88915</v>
      </c>
      <c r="L21" s="154">
        <v>88915</v>
      </c>
      <c r="M21" s="147">
        <v>88915</v>
      </c>
      <c r="N21" s="141">
        <f aca="true" t="shared" si="0" ref="N21:N28">ROUND(100*M21/L21,1)</f>
        <v>100</v>
      </c>
    </row>
    <row r="22" spans="1:14" ht="14.25">
      <c r="A22" s="138" t="s">
        <v>1172</v>
      </c>
      <c r="B22" s="145" t="s">
        <v>1178</v>
      </c>
      <c r="C22" s="85" t="s">
        <v>1179</v>
      </c>
      <c r="D22" s="85"/>
      <c r="E22" s="85"/>
      <c r="F22" s="85"/>
      <c r="G22" s="85"/>
      <c r="H22" s="85"/>
      <c r="I22" s="85"/>
      <c r="J22" s="139"/>
      <c r="K22" s="140">
        <v>21055</v>
      </c>
      <c r="L22" s="140">
        <v>21298</v>
      </c>
      <c r="M22" s="147">
        <v>21298</v>
      </c>
      <c r="N22" s="141">
        <f t="shared" si="0"/>
        <v>100</v>
      </c>
    </row>
    <row r="23" spans="1:14" ht="14.25">
      <c r="A23" s="138" t="s">
        <v>1180</v>
      </c>
      <c r="B23" s="155" t="s">
        <v>1181</v>
      </c>
      <c r="C23" s="85" t="s">
        <v>1182</v>
      </c>
      <c r="D23" s="85"/>
      <c r="E23" s="85"/>
      <c r="F23" s="85"/>
      <c r="G23" s="85"/>
      <c r="H23" s="85"/>
      <c r="I23" s="85"/>
      <c r="J23" s="139"/>
      <c r="K23" s="140">
        <v>8043</v>
      </c>
      <c r="L23" s="140">
        <v>16527</v>
      </c>
      <c r="M23" s="147">
        <v>16527</v>
      </c>
      <c r="N23" s="141">
        <f t="shared" si="0"/>
        <v>100</v>
      </c>
    </row>
    <row r="24" spans="1:14" ht="14.25">
      <c r="A24" s="138" t="s">
        <v>1183</v>
      </c>
      <c r="B24" s="139" t="s">
        <v>1184</v>
      </c>
      <c r="C24" s="85" t="s">
        <v>1185</v>
      </c>
      <c r="D24" s="85"/>
      <c r="E24" s="85"/>
      <c r="F24" s="85"/>
      <c r="G24" s="85"/>
      <c r="H24" s="85"/>
      <c r="I24" s="85"/>
      <c r="J24" s="139"/>
      <c r="K24" s="140">
        <v>5152</v>
      </c>
      <c r="L24" s="140">
        <v>5152</v>
      </c>
      <c r="M24" s="147">
        <v>5152</v>
      </c>
      <c r="N24" s="141">
        <f t="shared" si="0"/>
        <v>100</v>
      </c>
    </row>
    <row r="25" spans="1:14" ht="14.25">
      <c r="A25" s="138" t="s">
        <v>1176</v>
      </c>
      <c r="B25" s="139" t="s">
        <v>1186</v>
      </c>
      <c r="C25" s="85" t="s">
        <v>1187</v>
      </c>
      <c r="D25" s="85"/>
      <c r="E25" s="85"/>
      <c r="F25" s="85"/>
      <c r="G25" s="85"/>
      <c r="H25" s="85"/>
      <c r="I25" s="85"/>
      <c r="J25" s="139"/>
      <c r="K25" s="140">
        <v>567212</v>
      </c>
      <c r="L25" s="140">
        <v>564080</v>
      </c>
      <c r="M25" s="147">
        <v>564080</v>
      </c>
      <c r="N25" s="141">
        <f t="shared" si="0"/>
        <v>100</v>
      </c>
    </row>
    <row r="26" spans="1:14" ht="14.25">
      <c r="A26" s="138" t="s">
        <v>1178</v>
      </c>
      <c r="B26" s="139" t="s">
        <v>1188</v>
      </c>
      <c r="C26" s="85" t="s">
        <v>1189</v>
      </c>
      <c r="D26" s="85"/>
      <c r="E26" s="85"/>
      <c r="F26" s="85"/>
      <c r="G26" s="85"/>
      <c r="H26" s="85"/>
      <c r="I26" s="85"/>
      <c r="J26" s="139"/>
      <c r="K26" s="140">
        <v>108249</v>
      </c>
      <c r="L26" s="140">
        <v>106708</v>
      </c>
      <c r="M26" s="147">
        <v>106708</v>
      </c>
      <c r="N26" s="141">
        <f t="shared" si="0"/>
        <v>100</v>
      </c>
    </row>
    <row r="27" spans="1:14" ht="14.25">
      <c r="A27" s="156" t="s">
        <v>1181</v>
      </c>
      <c r="B27" s="149" t="s">
        <v>1190</v>
      </c>
      <c r="C27" s="143" t="s">
        <v>1191</v>
      </c>
      <c r="D27" s="157"/>
      <c r="E27" s="157"/>
      <c r="F27" s="157"/>
      <c r="G27" s="157"/>
      <c r="H27" s="157"/>
      <c r="I27" s="157"/>
      <c r="J27" s="158"/>
      <c r="K27" s="159">
        <v>112673</v>
      </c>
      <c r="L27" s="160">
        <v>109728</v>
      </c>
      <c r="M27" s="161">
        <v>109728</v>
      </c>
      <c r="N27" s="162">
        <f t="shared" si="0"/>
        <v>100</v>
      </c>
    </row>
    <row r="28" spans="1:14" ht="15.75">
      <c r="A28" s="163" t="s">
        <v>1184</v>
      </c>
      <c r="B28" s="164"/>
      <c r="C28" s="165" t="s">
        <v>1192</v>
      </c>
      <c r="D28" s="166"/>
      <c r="E28" s="166"/>
      <c r="F28" s="166"/>
      <c r="G28" s="166"/>
      <c r="H28" s="166"/>
      <c r="I28" s="166"/>
      <c r="J28" s="164"/>
      <c r="K28" s="167">
        <f>SUM(K13:K27)</f>
        <v>972641</v>
      </c>
      <c r="L28" s="167">
        <f>SUM(L13:L27)</f>
        <v>973750</v>
      </c>
      <c r="M28" s="168">
        <f>SUM(M13:M27)</f>
        <v>973750</v>
      </c>
      <c r="N28" s="169">
        <f t="shared" si="0"/>
        <v>100</v>
      </c>
    </row>
    <row r="29" spans="11:14" ht="12.75">
      <c r="K29" s="55"/>
      <c r="L29" s="55"/>
      <c r="M29" s="55"/>
      <c r="N29" s="55"/>
    </row>
    <row r="30" spans="11:14" ht="12.75">
      <c r="K30" s="55"/>
      <c r="L30" s="55"/>
      <c r="M30" s="55"/>
      <c r="N30" s="55"/>
    </row>
  </sheetData>
  <mergeCells count="11">
    <mergeCell ref="A13:A14"/>
    <mergeCell ref="B13:B14"/>
    <mergeCell ref="C13:J13"/>
    <mergeCell ref="K13:K14"/>
    <mergeCell ref="C14:J14"/>
    <mergeCell ref="M1:N1"/>
    <mergeCell ref="B3:N3"/>
    <mergeCell ref="C7:J7"/>
    <mergeCell ref="L13:L14"/>
    <mergeCell ref="M13:M14"/>
    <mergeCell ref="N13:N14"/>
  </mergeCells>
  <printOptions horizontalCentered="1"/>
  <pageMargins left="0.7875" right="0.7875" top="0.7875" bottom="0.7875" header="0.5118055555555556" footer="0.5118055555555556"/>
  <pageSetup cellComments="atEnd" fitToHeight="1" fitToWidth="1"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 topLeftCell="A1">
      <selection activeCell="H24" sqref="H24"/>
    </sheetView>
  </sheetViews>
  <sheetFormatPr defaultColWidth="9.140625" defaultRowHeight="12.75"/>
  <cols>
    <col min="1" max="1" width="6.421875" style="1" customWidth="1"/>
    <col min="2" max="2" width="13.140625" style="1" customWidth="1"/>
    <col min="3" max="3" width="2.57421875" style="1" customWidth="1"/>
    <col min="4" max="4" width="2.8515625" style="1" customWidth="1"/>
    <col min="5" max="5" width="2.57421875" style="1" customWidth="1"/>
    <col min="6" max="10" width="8.7109375" style="1" customWidth="1"/>
    <col min="11" max="11" width="12.7109375" style="1" customWidth="1"/>
    <col min="12" max="15" width="11.28125" style="1" customWidth="1"/>
    <col min="16" max="16384" width="9.140625" style="1" customWidth="1"/>
  </cols>
  <sheetData>
    <row r="1" spans="2:15" ht="14.25">
      <c r="B1" s="6"/>
      <c r="C1" s="2"/>
      <c r="D1" s="2"/>
      <c r="E1" s="2"/>
      <c r="F1" s="2"/>
      <c r="G1" s="2"/>
      <c r="H1" s="2"/>
      <c r="I1" s="2"/>
      <c r="J1" s="2"/>
      <c r="N1" s="1056" t="s">
        <v>1193</v>
      </c>
      <c r="O1" s="1056"/>
    </row>
    <row r="2" spans="2:13" ht="14.25"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5" ht="15">
      <c r="B3" s="1053" t="s">
        <v>1194</v>
      </c>
      <c r="C3" s="1053"/>
      <c r="D3" s="1053"/>
      <c r="E3" s="1053"/>
      <c r="F3" s="1053"/>
      <c r="G3" s="1053"/>
      <c r="H3" s="1053"/>
      <c r="I3" s="1053"/>
      <c r="J3" s="1053"/>
      <c r="K3" s="1053"/>
      <c r="L3" s="1053"/>
      <c r="M3" s="1053"/>
      <c r="N3" s="1053"/>
      <c r="O3" s="1053"/>
    </row>
    <row r="4" spans="2:13" ht="15"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"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5" ht="15">
      <c r="B6" s="5"/>
      <c r="C6" s="2"/>
      <c r="D6" s="2"/>
      <c r="E6" s="2"/>
      <c r="F6" s="2"/>
      <c r="G6" s="2"/>
      <c r="H6" s="2"/>
      <c r="I6" s="2"/>
      <c r="J6" s="2"/>
      <c r="O6" s="4" t="s">
        <v>1082</v>
      </c>
    </row>
    <row r="7" spans="1:15" ht="14.25">
      <c r="A7" s="10"/>
      <c r="B7" s="8" t="s">
        <v>960</v>
      </c>
      <c r="C7" s="1054" t="s">
        <v>961</v>
      </c>
      <c r="D7" s="1054"/>
      <c r="E7" s="1054"/>
      <c r="F7" s="1054"/>
      <c r="G7" s="1054"/>
      <c r="H7" s="1054"/>
      <c r="I7" s="1054"/>
      <c r="J7" s="1054"/>
      <c r="K7" s="1054"/>
      <c r="L7" s="10" t="s">
        <v>962</v>
      </c>
      <c r="M7" s="10" t="s">
        <v>963</v>
      </c>
      <c r="N7" s="10" t="s">
        <v>964</v>
      </c>
      <c r="O7" s="10" t="s">
        <v>965</v>
      </c>
    </row>
    <row r="8" spans="1:15" ht="15">
      <c r="A8" s="170" t="s">
        <v>1159</v>
      </c>
      <c r="B8" s="1065" t="s">
        <v>1195</v>
      </c>
      <c r="C8" s="1065"/>
      <c r="D8" s="1065"/>
      <c r="E8" s="1065"/>
      <c r="F8" s="1065"/>
      <c r="G8" s="1065"/>
      <c r="H8" s="1065"/>
      <c r="I8" s="1065"/>
      <c r="J8" s="1065"/>
      <c r="K8" s="1065"/>
      <c r="L8" s="171" t="s">
        <v>1084</v>
      </c>
      <c r="M8" s="172" t="s">
        <v>978</v>
      </c>
      <c r="N8" s="114" t="s">
        <v>979</v>
      </c>
      <c r="O8" s="115" t="s">
        <v>979</v>
      </c>
    </row>
    <row r="9" spans="1:15" ht="14.25">
      <c r="A9" s="148"/>
      <c r="B9" s="43" t="s">
        <v>1161</v>
      </c>
      <c r="C9" s="2" t="s">
        <v>1162</v>
      </c>
      <c r="D9" s="2"/>
      <c r="E9" s="2"/>
      <c r="F9" s="2"/>
      <c r="G9" s="2"/>
      <c r="H9" s="2"/>
      <c r="I9" s="2"/>
      <c r="J9" s="2"/>
      <c r="K9" s="51"/>
      <c r="L9" s="121" t="s">
        <v>985</v>
      </c>
      <c r="M9" s="122" t="s">
        <v>983</v>
      </c>
      <c r="N9" s="81"/>
      <c r="O9" s="123" t="s">
        <v>984</v>
      </c>
    </row>
    <row r="10" spans="1:15" ht="14.25">
      <c r="A10" s="148"/>
      <c r="B10" s="43"/>
      <c r="C10" s="2"/>
      <c r="D10" s="2"/>
      <c r="E10" s="2"/>
      <c r="F10" s="2"/>
      <c r="G10" s="2"/>
      <c r="H10" s="2"/>
      <c r="I10" s="2"/>
      <c r="J10" s="2"/>
      <c r="K10" s="51"/>
      <c r="L10" s="121" t="s">
        <v>986</v>
      </c>
      <c r="M10" s="122"/>
      <c r="N10" s="83"/>
      <c r="O10" s="123"/>
    </row>
    <row r="11" spans="1:15" ht="14.25">
      <c r="A11" s="148"/>
      <c r="B11" s="173"/>
      <c r="C11" s="127"/>
      <c r="D11" s="127"/>
      <c r="E11" s="127"/>
      <c r="F11" s="127"/>
      <c r="G11" s="127"/>
      <c r="H11" s="127"/>
      <c r="I11" s="127"/>
      <c r="J11" s="127"/>
      <c r="K11" s="128"/>
      <c r="L11" s="129"/>
      <c r="M11" s="130"/>
      <c r="N11" s="174"/>
      <c r="O11" s="175"/>
    </row>
    <row r="12" spans="1:15" ht="14.25">
      <c r="A12" s="176" t="s">
        <v>987</v>
      </c>
      <c r="B12" s="177" t="s">
        <v>1196</v>
      </c>
      <c r="C12" s="85" t="s">
        <v>1197</v>
      </c>
      <c r="D12" s="85"/>
      <c r="E12" s="85"/>
      <c r="F12" s="85"/>
      <c r="G12" s="85"/>
      <c r="H12" s="85"/>
      <c r="I12" s="85"/>
      <c r="J12" s="85"/>
      <c r="K12" s="85"/>
      <c r="L12" s="178"/>
      <c r="M12" s="2"/>
      <c r="N12" s="83"/>
      <c r="O12" s="179"/>
    </row>
    <row r="13" spans="1:15" ht="14.25">
      <c r="A13" s="180" t="s">
        <v>990</v>
      </c>
      <c r="B13" s="139" t="s">
        <v>1198</v>
      </c>
      <c r="C13" s="85"/>
      <c r="D13" s="85" t="s">
        <v>1199</v>
      </c>
      <c r="E13" s="85"/>
      <c r="F13" s="85"/>
      <c r="G13" s="85"/>
      <c r="H13" s="85"/>
      <c r="I13" s="85"/>
      <c r="J13" s="85"/>
      <c r="K13" s="139"/>
      <c r="L13" s="135">
        <v>5400</v>
      </c>
      <c r="M13" s="154">
        <v>5400</v>
      </c>
      <c r="N13" s="181">
        <v>5400</v>
      </c>
      <c r="O13" s="182">
        <f>ROUND(100*N13/M13,1)</f>
        <v>100</v>
      </c>
    </row>
    <row r="14" spans="1:15" ht="14.25">
      <c r="A14" s="180" t="s">
        <v>1030</v>
      </c>
      <c r="B14" s="139" t="s">
        <v>1200</v>
      </c>
      <c r="C14" s="85" t="s">
        <v>1201</v>
      </c>
      <c r="D14" s="85"/>
      <c r="E14" s="85"/>
      <c r="F14" s="85"/>
      <c r="G14" s="85"/>
      <c r="H14" s="85"/>
      <c r="I14" s="85"/>
      <c r="J14" s="85"/>
      <c r="K14" s="139"/>
      <c r="L14" s="135"/>
      <c r="M14" s="183"/>
      <c r="N14" s="181"/>
      <c r="O14" s="184"/>
    </row>
    <row r="15" spans="1:17" ht="14.25">
      <c r="A15" s="180" t="s">
        <v>1033</v>
      </c>
      <c r="B15" s="139" t="s">
        <v>1202</v>
      </c>
      <c r="C15" s="85"/>
      <c r="D15" s="85" t="s">
        <v>1203</v>
      </c>
      <c r="E15" s="85"/>
      <c r="F15" s="85"/>
      <c r="G15" s="85"/>
      <c r="H15" s="85"/>
      <c r="I15" s="85"/>
      <c r="J15" s="85"/>
      <c r="K15" s="139"/>
      <c r="L15" s="135"/>
      <c r="M15" s="183">
        <v>121515</v>
      </c>
      <c r="N15" s="181">
        <v>121515</v>
      </c>
      <c r="O15" s="184">
        <f>ROUND(100*N15/M15,1)</f>
        <v>100</v>
      </c>
      <c r="Q15" s="55"/>
    </row>
    <row r="16" spans="1:17" ht="14.25">
      <c r="A16" s="180" t="s">
        <v>1204</v>
      </c>
      <c r="B16" s="139"/>
      <c r="C16" s="85"/>
      <c r="D16" s="85" t="s">
        <v>1205</v>
      </c>
      <c r="E16" s="85"/>
      <c r="F16" s="85"/>
      <c r="G16" s="85"/>
      <c r="H16" s="85"/>
      <c r="I16" s="85"/>
      <c r="J16" s="85"/>
      <c r="K16" s="139"/>
      <c r="L16" s="135"/>
      <c r="M16" s="183">
        <v>186252</v>
      </c>
      <c r="N16" s="181">
        <v>186252</v>
      </c>
      <c r="O16" s="184">
        <f>ROUND(100*N16/M16,1)</f>
        <v>100</v>
      </c>
      <c r="P16" s="101"/>
      <c r="Q16" s="101"/>
    </row>
    <row r="17" spans="1:17" ht="14.25">
      <c r="A17" s="180" t="s">
        <v>1036</v>
      </c>
      <c r="B17" s="139" t="s">
        <v>1206</v>
      </c>
      <c r="C17" s="85"/>
      <c r="D17" s="85" t="s">
        <v>1207</v>
      </c>
      <c r="E17" s="85"/>
      <c r="F17" s="85"/>
      <c r="G17" s="85"/>
      <c r="H17" s="85"/>
      <c r="I17" s="85"/>
      <c r="J17" s="85"/>
      <c r="K17" s="145"/>
      <c r="L17" s="185">
        <v>160</v>
      </c>
      <c r="M17" s="154">
        <v>160</v>
      </c>
      <c r="N17" s="181">
        <v>160</v>
      </c>
      <c r="O17" s="184">
        <f>ROUND(100*N17/M17,1)</f>
        <v>100</v>
      </c>
      <c r="Q17" s="101"/>
    </row>
    <row r="18" spans="1:15" ht="14.25">
      <c r="A18" s="180" t="s">
        <v>1074</v>
      </c>
      <c r="B18" s="139" t="s">
        <v>1208</v>
      </c>
      <c r="C18" s="85" t="s">
        <v>1209</v>
      </c>
      <c r="D18" s="85"/>
      <c r="E18" s="85"/>
      <c r="F18" s="85"/>
      <c r="G18" s="85"/>
      <c r="H18" s="85"/>
      <c r="I18" s="85"/>
      <c r="J18" s="85"/>
      <c r="K18" s="145"/>
      <c r="L18" s="185">
        <v>15927</v>
      </c>
      <c r="M18" s="154">
        <v>15927</v>
      </c>
      <c r="N18" s="181">
        <v>15927</v>
      </c>
      <c r="O18" s="184">
        <f>ROUND(100*N18/M18,1)</f>
        <v>100</v>
      </c>
    </row>
    <row r="19" spans="1:15" ht="15.75">
      <c r="A19" s="186" t="s">
        <v>1168</v>
      </c>
      <c r="B19" s="187"/>
      <c r="C19" s="188" t="s">
        <v>1192</v>
      </c>
      <c r="D19" s="189"/>
      <c r="E19" s="189"/>
      <c r="F19" s="189"/>
      <c r="G19" s="189"/>
      <c r="H19" s="189"/>
      <c r="I19" s="189"/>
      <c r="J19" s="189"/>
      <c r="K19" s="190"/>
      <c r="L19" s="191">
        <f>SUM(L13:L18)</f>
        <v>21487</v>
      </c>
      <c r="M19" s="192">
        <f>SUM(M13:M18)</f>
        <v>329254</v>
      </c>
      <c r="N19" s="193">
        <f>SUM(N13:N18)</f>
        <v>329254</v>
      </c>
      <c r="O19" s="194">
        <f>ROUND(100*N19/M19,1)</f>
        <v>100</v>
      </c>
    </row>
    <row r="24" ht="12.75">
      <c r="P24" s="101"/>
    </row>
  </sheetData>
  <mergeCells count="4">
    <mergeCell ref="N1:O1"/>
    <mergeCell ref="B3:O3"/>
    <mergeCell ref="C7:K7"/>
    <mergeCell ref="B8:K8"/>
  </mergeCells>
  <printOptions horizontalCentered="1"/>
  <pageMargins left="0.7875" right="0.7875" top="0.7875" bottom="0.7875" header="0.5118055555555556" footer="0.5118055555555556"/>
  <pageSetup cellComments="atEnd" firstPageNumber="1" useFirstPageNumber="1" fitToHeight="1" fitToWidth="1"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workbookViewId="0" topLeftCell="A55">
      <selection activeCell="M96" sqref="M96"/>
    </sheetView>
  </sheetViews>
  <sheetFormatPr defaultColWidth="9.140625" defaultRowHeight="12.75"/>
  <cols>
    <col min="1" max="1" width="4.28125" style="1" customWidth="1"/>
    <col min="2" max="2" width="2.57421875" style="1" customWidth="1"/>
    <col min="3" max="4" width="2.8515625" style="1" customWidth="1"/>
    <col min="5" max="11" width="2.57421875" style="1" customWidth="1"/>
    <col min="12" max="12" width="13.421875" style="1" customWidth="1"/>
    <col min="13" max="13" width="16.140625" style="1" customWidth="1"/>
    <col min="14" max="14" width="10.140625" style="1" customWidth="1"/>
    <col min="15" max="15" width="10.7109375" style="1" customWidth="1"/>
    <col min="16" max="16" width="10.140625" style="1" customWidth="1"/>
    <col min="17" max="17" width="10.7109375" style="1" customWidth="1"/>
    <col min="18" max="16384" width="9.140625" style="1" customWidth="1"/>
  </cols>
  <sheetData>
    <row r="1" spans="1:17" ht="14.25">
      <c r="A1" s="7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P1" s="1052" t="s">
        <v>1210</v>
      </c>
      <c r="Q1" s="1052"/>
    </row>
    <row r="2" spans="1:16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75"/>
    </row>
    <row r="3" spans="1:17" ht="15">
      <c r="A3" s="1053" t="s">
        <v>1211</v>
      </c>
      <c r="B3" s="1053"/>
      <c r="C3" s="1053"/>
      <c r="D3" s="1053"/>
      <c r="E3" s="1053"/>
      <c r="F3" s="1053"/>
      <c r="G3" s="1053"/>
      <c r="H3" s="1053"/>
      <c r="I3" s="1053"/>
      <c r="J3" s="1053"/>
      <c r="K3" s="1053"/>
      <c r="L3" s="1053"/>
      <c r="M3" s="1053"/>
      <c r="N3" s="1053"/>
      <c r="O3" s="1053"/>
      <c r="P3" s="1053"/>
      <c r="Q3" s="1053"/>
    </row>
    <row r="4" spans="1:17" ht="15">
      <c r="A4" s="1053" t="s">
        <v>1212</v>
      </c>
      <c r="B4" s="1053"/>
      <c r="C4" s="1053"/>
      <c r="D4" s="1053"/>
      <c r="E4" s="1053"/>
      <c r="F4" s="1053"/>
      <c r="G4" s="1053"/>
      <c r="H4" s="1053"/>
      <c r="I4" s="1053"/>
      <c r="J4" s="1053"/>
      <c r="K4" s="1053"/>
      <c r="L4" s="1053"/>
      <c r="M4" s="1053"/>
      <c r="N4" s="1053"/>
      <c r="O4" s="1053"/>
      <c r="P4" s="1053"/>
      <c r="Q4" s="1053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3"/>
      <c r="O6" s="3"/>
      <c r="P6" s="3"/>
      <c r="Q6" s="4" t="s">
        <v>1082</v>
      </c>
    </row>
    <row r="7" spans="1:17" ht="14.25">
      <c r="A7" s="1054" t="s">
        <v>960</v>
      </c>
      <c r="B7" s="1054"/>
      <c r="C7" s="1054"/>
      <c r="D7" s="1054"/>
      <c r="E7" s="1054"/>
      <c r="F7" s="1054"/>
      <c r="G7" s="1054"/>
      <c r="H7" s="1054"/>
      <c r="I7" s="1054"/>
      <c r="J7" s="1054"/>
      <c r="K7" s="1054"/>
      <c r="L7" s="1054"/>
      <c r="M7" s="1054"/>
      <c r="N7" s="10" t="s">
        <v>961</v>
      </c>
      <c r="O7" s="10" t="s">
        <v>962</v>
      </c>
      <c r="P7" s="10" t="s">
        <v>963</v>
      </c>
      <c r="Q7" s="10" t="s">
        <v>964</v>
      </c>
    </row>
    <row r="8" spans="1:17" ht="15">
      <c r="A8" s="195" t="s">
        <v>1083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196" t="s">
        <v>1084</v>
      </c>
      <c r="O8" s="197" t="s">
        <v>978</v>
      </c>
      <c r="P8" s="198" t="s">
        <v>979</v>
      </c>
      <c r="Q8" s="199" t="s">
        <v>979</v>
      </c>
    </row>
    <row r="9" spans="1:17" ht="14.25">
      <c r="A9" s="4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00" t="s">
        <v>985</v>
      </c>
      <c r="O9" s="201" t="s">
        <v>983</v>
      </c>
      <c r="P9" s="202"/>
      <c r="Q9" s="203" t="s">
        <v>984</v>
      </c>
    </row>
    <row r="10" spans="1:17" ht="14.25">
      <c r="A10" s="47"/>
      <c r="B10" s="2"/>
      <c r="C10" s="2"/>
      <c r="D10" s="2"/>
      <c r="E10" s="2"/>
      <c r="F10" s="2"/>
      <c r="G10" s="2"/>
      <c r="H10" s="2"/>
      <c r="I10" s="2"/>
      <c r="J10" s="2" t="s">
        <v>1213</v>
      </c>
      <c r="K10" s="2"/>
      <c r="L10" s="2"/>
      <c r="M10" s="2"/>
      <c r="N10" s="200" t="s">
        <v>986</v>
      </c>
      <c r="O10" s="201"/>
      <c r="P10" s="57"/>
      <c r="Q10" s="203"/>
    </row>
    <row r="11" spans="1:17" ht="15" customHeight="1">
      <c r="A11" s="204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205"/>
      <c r="O11" s="205"/>
      <c r="P11" s="206"/>
      <c r="Q11" s="207"/>
    </row>
    <row r="12" spans="1:17" ht="15" customHeight="1">
      <c r="A12" s="208" t="s">
        <v>987</v>
      </c>
      <c r="B12" s="209" t="s">
        <v>1214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00"/>
      <c r="O12" s="210">
        <v>5000</v>
      </c>
      <c r="P12" s="95">
        <v>14419</v>
      </c>
      <c r="Q12" s="96">
        <f>ROUND(100*P12/O12,1)</f>
        <v>288.4</v>
      </c>
    </row>
    <row r="13" spans="1:17" ht="15" customHeight="1">
      <c r="A13" s="4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00"/>
      <c r="O13" s="200"/>
      <c r="P13" s="57"/>
      <c r="Q13" s="92"/>
    </row>
    <row r="14" spans="1:17" ht="15" customHeight="1">
      <c r="A14" s="211" t="s">
        <v>1030</v>
      </c>
      <c r="B14" s="209" t="s">
        <v>1215</v>
      </c>
      <c r="N14" s="212"/>
      <c r="O14" s="212"/>
      <c r="P14" s="57"/>
      <c r="Q14" s="92"/>
    </row>
    <row r="15" spans="1:17" ht="15" customHeight="1">
      <c r="A15" s="208"/>
      <c r="B15" s="1055" t="s">
        <v>1033</v>
      </c>
      <c r="C15" s="1055"/>
      <c r="D15" s="2" t="s">
        <v>1216</v>
      </c>
      <c r="E15" s="209"/>
      <c r="F15" s="209"/>
      <c r="G15" s="209"/>
      <c r="H15" s="209"/>
      <c r="I15" s="209"/>
      <c r="J15" s="209"/>
      <c r="K15" s="209"/>
      <c r="L15" s="209"/>
      <c r="M15" s="209"/>
      <c r="N15" s="56">
        <v>2615</v>
      </c>
      <c r="O15" s="56">
        <v>2935</v>
      </c>
      <c r="P15" s="57">
        <v>3383</v>
      </c>
      <c r="Q15" s="92">
        <f aca="true" t="shared" si="0" ref="Q15:Q20">ROUND(100*P15/O15,1)</f>
        <v>115.3</v>
      </c>
    </row>
    <row r="16" spans="1:17" ht="15" customHeight="1">
      <c r="A16" s="208"/>
      <c r="B16" s="1055" t="s">
        <v>1036</v>
      </c>
      <c r="C16" s="1055"/>
      <c r="D16" s="2" t="s">
        <v>1217</v>
      </c>
      <c r="E16" s="209"/>
      <c r="F16" s="209"/>
      <c r="G16" s="209"/>
      <c r="H16" s="209"/>
      <c r="I16" s="209"/>
      <c r="J16" s="209"/>
      <c r="K16" s="209"/>
      <c r="L16" s="209"/>
      <c r="M16" s="209"/>
      <c r="N16" s="56"/>
      <c r="O16" s="56">
        <v>616</v>
      </c>
      <c r="P16" s="57">
        <v>616</v>
      </c>
      <c r="Q16" s="92">
        <f t="shared" si="0"/>
        <v>100</v>
      </c>
    </row>
    <row r="17" spans="1:19" ht="15" customHeight="1">
      <c r="A17" s="208"/>
      <c r="B17" s="1055" t="s">
        <v>1039</v>
      </c>
      <c r="C17" s="1055"/>
      <c r="D17" s="2" t="s">
        <v>1218</v>
      </c>
      <c r="E17" s="209"/>
      <c r="F17" s="209"/>
      <c r="G17" s="209"/>
      <c r="H17" s="209"/>
      <c r="I17" s="209"/>
      <c r="J17" s="209"/>
      <c r="K17" s="209"/>
      <c r="L17" s="209"/>
      <c r="M17" s="209"/>
      <c r="N17" s="213"/>
      <c r="O17" s="56">
        <v>10274</v>
      </c>
      <c r="P17" s="57">
        <v>7567</v>
      </c>
      <c r="Q17" s="92">
        <f t="shared" si="0"/>
        <v>73.7</v>
      </c>
      <c r="S17" s="101"/>
    </row>
    <row r="18" spans="1:19" ht="15" customHeight="1">
      <c r="A18" s="208"/>
      <c r="B18" s="1055" t="s">
        <v>1042</v>
      </c>
      <c r="C18" s="1055"/>
      <c r="D18" s="2" t="s">
        <v>1219</v>
      </c>
      <c r="E18" s="209"/>
      <c r="F18" s="209"/>
      <c r="G18" s="209"/>
      <c r="H18" s="209"/>
      <c r="I18" s="209"/>
      <c r="J18" s="209"/>
      <c r="K18" s="209"/>
      <c r="L18" s="209"/>
      <c r="M18" s="209"/>
      <c r="N18" s="213"/>
      <c r="O18" s="56">
        <v>10082</v>
      </c>
      <c r="P18" s="57">
        <v>994</v>
      </c>
      <c r="Q18" s="92">
        <f t="shared" si="0"/>
        <v>9.9</v>
      </c>
      <c r="R18" s="101"/>
      <c r="S18" s="101"/>
    </row>
    <row r="19" spans="1:17" ht="15" customHeight="1">
      <c r="A19" s="208"/>
      <c r="B19" s="1055" t="s">
        <v>1045</v>
      </c>
      <c r="C19" s="1055"/>
      <c r="D19" s="2" t="s">
        <v>1220</v>
      </c>
      <c r="E19" s="209"/>
      <c r="F19" s="209"/>
      <c r="G19" s="209"/>
      <c r="H19" s="209"/>
      <c r="I19" s="209"/>
      <c r="J19" s="209"/>
      <c r="K19" s="209"/>
      <c r="L19" s="209"/>
      <c r="M19" s="209"/>
      <c r="N19" s="213"/>
      <c r="O19" s="56">
        <v>4440</v>
      </c>
      <c r="P19" s="57">
        <v>6058</v>
      </c>
      <c r="Q19" s="92">
        <f t="shared" si="0"/>
        <v>136.4</v>
      </c>
    </row>
    <row r="20" spans="1:17" ht="15" customHeight="1">
      <c r="A20" s="211" t="s">
        <v>1030</v>
      </c>
      <c r="B20" s="209" t="s">
        <v>1221</v>
      </c>
      <c r="C20" s="2"/>
      <c r="D20" s="2"/>
      <c r="E20" s="209"/>
      <c r="F20" s="209"/>
      <c r="G20" s="209"/>
      <c r="H20" s="209"/>
      <c r="I20" s="209"/>
      <c r="J20" s="209"/>
      <c r="K20" s="209"/>
      <c r="L20" s="209"/>
      <c r="M20" s="209"/>
      <c r="N20" s="213">
        <f>SUM(N15:N19)</f>
        <v>2615</v>
      </c>
      <c r="O20" s="213">
        <f>SUM(O15:O19)</f>
        <v>28347</v>
      </c>
      <c r="P20" s="95">
        <f>SUM(P15:P19)</f>
        <v>18618</v>
      </c>
      <c r="Q20" s="96">
        <f t="shared" si="0"/>
        <v>65.7</v>
      </c>
    </row>
    <row r="21" spans="1:17" ht="15" customHeight="1">
      <c r="A21" s="208"/>
      <c r="B21" s="209"/>
      <c r="C21" s="2"/>
      <c r="D21" s="2"/>
      <c r="E21" s="209"/>
      <c r="F21" s="209"/>
      <c r="G21" s="209"/>
      <c r="H21" s="209"/>
      <c r="I21" s="209"/>
      <c r="J21" s="209"/>
      <c r="K21" s="209"/>
      <c r="L21" s="209"/>
      <c r="M21" s="209"/>
      <c r="N21" s="213"/>
      <c r="O21" s="213"/>
      <c r="P21" s="57"/>
      <c r="Q21" s="214"/>
    </row>
    <row r="22" spans="1:17" ht="15" customHeight="1">
      <c r="A22" s="211" t="s">
        <v>1074</v>
      </c>
      <c r="B22" s="209" t="s">
        <v>1222</v>
      </c>
      <c r="C22" s="2"/>
      <c r="D22" s="2"/>
      <c r="E22" s="209"/>
      <c r="F22" s="209"/>
      <c r="G22" s="209"/>
      <c r="H22" s="209"/>
      <c r="I22" s="209"/>
      <c r="J22" s="209"/>
      <c r="K22" s="209"/>
      <c r="L22" s="209"/>
      <c r="M22" s="209"/>
      <c r="N22" s="213"/>
      <c r="O22" s="213"/>
      <c r="P22" s="57"/>
      <c r="Q22" s="91"/>
    </row>
    <row r="23" spans="1:21" ht="15" customHeight="1">
      <c r="A23" s="208"/>
      <c r="B23" s="1055" t="s">
        <v>1109</v>
      </c>
      <c r="C23" s="1055"/>
      <c r="D23" s="215" t="s">
        <v>1223</v>
      </c>
      <c r="E23" s="209"/>
      <c r="F23" s="209"/>
      <c r="G23" s="209"/>
      <c r="H23" s="209"/>
      <c r="I23" s="209"/>
      <c r="J23" s="209"/>
      <c r="K23" s="209"/>
      <c r="L23" s="209"/>
      <c r="M23" s="209"/>
      <c r="N23" s="56">
        <v>33032</v>
      </c>
      <c r="O23" s="56">
        <v>32990</v>
      </c>
      <c r="P23" s="57">
        <v>32990</v>
      </c>
      <c r="Q23" s="92">
        <f aca="true" t="shared" si="1" ref="Q23:Q62">ROUND(100*P23/O23,1)</f>
        <v>100</v>
      </c>
      <c r="U23" s="216"/>
    </row>
    <row r="24" spans="1:21" ht="15" customHeight="1">
      <c r="A24" s="208"/>
      <c r="B24" s="217"/>
      <c r="C24" s="48"/>
      <c r="D24" s="2" t="s">
        <v>1224</v>
      </c>
      <c r="E24" s="209"/>
      <c r="F24" s="209"/>
      <c r="G24" s="209"/>
      <c r="H24" s="209"/>
      <c r="I24" s="209"/>
      <c r="J24" s="209"/>
      <c r="K24" s="209"/>
      <c r="L24" s="209"/>
      <c r="M24" s="209"/>
      <c r="N24" s="213"/>
      <c r="O24" s="213"/>
      <c r="P24" s="57"/>
      <c r="Q24" s="92"/>
      <c r="U24" s="216"/>
    </row>
    <row r="25" spans="1:21" ht="15" customHeight="1">
      <c r="A25" s="208"/>
      <c r="B25" s="1055" t="s">
        <v>1111</v>
      </c>
      <c r="C25" s="1055"/>
      <c r="D25" s="2" t="s">
        <v>1225</v>
      </c>
      <c r="E25" s="209"/>
      <c r="F25" s="209"/>
      <c r="G25" s="209"/>
      <c r="H25" s="209"/>
      <c r="I25" s="209"/>
      <c r="J25" s="209"/>
      <c r="K25" s="209"/>
      <c r="L25" s="209"/>
      <c r="M25" s="209"/>
      <c r="N25" s="56">
        <v>2100</v>
      </c>
      <c r="O25" s="56">
        <v>13676</v>
      </c>
      <c r="P25" s="57">
        <v>13676</v>
      </c>
      <c r="Q25" s="92">
        <f t="shared" si="1"/>
        <v>100</v>
      </c>
      <c r="U25" s="216"/>
    </row>
    <row r="26" spans="1:17" ht="15" customHeight="1">
      <c r="A26" s="211" t="s">
        <v>1074</v>
      </c>
      <c r="B26" s="209" t="s">
        <v>1226</v>
      </c>
      <c r="C26" s="2"/>
      <c r="D26" s="2"/>
      <c r="E26" s="209"/>
      <c r="F26" s="209"/>
      <c r="G26" s="209"/>
      <c r="H26" s="209"/>
      <c r="I26" s="209"/>
      <c r="J26" s="209"/>
      <c r="K26" s="209"/>
      <c r="L26" s="209"/>
      <c r="M26" s="209"/>
      <c r="N26" s="213">
        <f>SUM(N23:N25)</f>
        <v>35132</v>
      </c>
      <c r="O26" s="213">
        <f>SUM(O23:O25)</f>
        <v>46666</v>
      </c>
      <c r="P26" s="97">
        <f>SUM(P23:P25)</f>
        <v>46666</v>
      </c>
      <c r="Q26" s="96">
        <f t="shared" si="1"/>
        <v>100</v>
      </c>
    </row>
    <row r="27" spans="1:17" ht="15" customHeight="1">
      <c r="A27" s="4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18"/>
      <c r="O27" s="218"/>
      <c r="P27" s="57"/>
      <c r="Q27" s="92"/>
    </row>
    <row r="28" spans="1:17" ht="15" customHeight="1">
      <c r="A28" s="211" t="s">
        <v>1168</v>
      </c>
      <c r="B28" s="209" t="s">
        <v>1227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6"/>
      <c r="O28" s="56"/>
      <c r="P28" s="57"/>
      <c r="Q28" s="92"/>
    </row>
    <row r="29" spans="1:18" ht="15" customHeight="1">
      <c r="A29" s="47"/>
      <c r="B29" s="1055" t="s">
        <v>1228</v>
      </c>
      <c r="C29" s="1055"/>
      <c r="D29" s="2" t="s">
        <v>1229</v>
      </c>
      <c r="E29" s="2"/>
      <c r="F29" s="2"/>
      <c r="G29" s="2"/>
      <c r="H29" s="2"/>
      <c r="I29" s="2"/>
      <c r="J29" s="2"/>
      <c r="K29" s="2"/>
      <c r="L29" s="2"/>
      <c r="M29" s="2"/>
      <c r="N29" s="56">
        <v>43859</v>
      </c>
      <c r="O29" s="56">
        <v>43889</v>
      </c>
      <c r="P29" s="57">
        <v>43889</v>
      </c>
      <c r="Q29" s="92">
        <f t="shared" si="1"/>
        <v>100</v>
      </c>
      <c r="R29" s="101"/>
    </row>
    <row r="30" spans="1:17" ht="15" customHeight="1">
      <c r="A30" s="47"/>
      <c r="B30" s="93"/>
      <c r="C30" s="93"/>
      <c r="D30" s="2" t="s">
        <v>1230</v>
      </c>
      <c r="E30" s="2"/>
      <c r="F30" s="2"/>
      <c r="G30" s="2"/>
      <c r="H30" s="2"/>
      <c r="I30" s="2"/>
      <c r="J30" s="2"/>
      <c r="K30" s="2"/>
      <c r="L30" s="2"/>
      <c r="M30" s="2"/>
      <c r="N30" s="56"/>
      <c r="O30" s="56"/>
      <c r="P30" s="57"/>
      <c r="Q30" s="92"/>
    </row>
    <row r="31" spans="1:18" ht="15" customHeight="1">
      <c r="A31" s="47"/>
      <c r="B31" s="1055" t="s">
        <v>1231</v>
      </c>
      <c r="C31" s="1055"/>
      <c r="D31" s="2" t="s">
        <v>1232</v>
      </c>
      <c r="E31" s="2"/>
      <c r="F31" s="2"/>
      <c r="G31" s="2"/>
      <c r="H31" s="2"/>
      <c r="I31" s="2"/>
      <c r="J31" s="2"/>
      <c r="K31" s="2"/>
      <c r="L31" s="2"/>
      <c r="M31" s="2"/>
      <c r="N31" s="56">
        <v>41241</v>
      </c>
      <c r="O31" s="56">
        <v>41558</v>
      </c>
      <c r="P31" s="57">
        <v>41558</v>
      </c>
      <c r="Q31" s="92">
        <f t="shared" si="1"/>
        <v>100</v>
      </c>
      <c r="R31" s="101"/>
    </row>
    <row r="32" spans="1:17" ht="15" customHeight="1">
      <c r="A32" s="47"/>
      <c r="B32" s="93"/>
      <c r="C32" s="93"/>
      <c r="D32" s="2" t="s">
        <v>1233</v>
      </c>
      <c r="E32" s="2"/>
      <c r="F32" s="2"/>
      <c r="G32" s="2"/>
      <c r="H32" s="2"/>
      <c r="I32" s="2"/>
      <c r="J32" s="2"/>
      <c r="K32" s="2"/>
      <c r="L32" s="2"/>
      <c r="M32" s="2"/>
      <c r="N32" s="56"/>
      <c r="O32" s="56"/>
      <c r="P32" s="57"/>
      <c r="Q32" s="92"/>
    </row>
    <row r="33" spans="1:19" ht="15" customHeight="1">
      <c r="A33" s="47"/>
      <c r="B33" s="1055" t="s">
        <v>1234</v>
      </c>
      <c r="C33" s="1055"/>
      <c r="D33" s="219" t="s">
        <v>1235</v>
      </c>
      <c r="E33" s="2"/>
      <c r="F33" s="2"/>
      <c r="G33" s="2"/>
      <c r="H33" s="2"/>
      <c r="I33" s="2"/>
      <c r="J33" s="2"/>
      <c r="K33" s="2"/>
      <c r="L33" s="2"/>
      <c r="M33" s="2"/>
      <c r="N33" s="56">
        <v>17535</v>
      </c>
      <c r="O33" s="56">
        <v>20757</v>
      </c>
      <c r="P33" s="57">
        <v>20757</v>
      </c>
      <c r="Q33" s="92">
        <f t="shared" si="1"/>
        <v>100</v>
      </c>
      <c r="R33" s="101"/>
      <c r="S33" s="101"/>
    </row>
    <row r="34" spans="1:17" ht="15" customHeight="1">
      <c r="A34" s="47"/>
      <c r="B34" s="93"/>
      <c r="C34" s="93"/>
      <c r="D34" s="219" t="s">
        <v>1236</v>
      </c>
      <c r="E34" s="2"/>
      <c r="F34" s="2"/>
      <c r="G34" s="2"/>
      <c r="H34" s="2"/>
      <c r="I34" s="2"/>
      <c r="J34" s="2"/>
      <c r="K34" s="2"/>
      <c r="L34" s="2"/>
      <c r="M34" s="2"/>
      <c r="N34" s="56"/>
      <c r="O34" s="56"/>
      <c r="P34" s="57"/>
      <c r="Q34" s="92"/>
    </row>
    <row r="35" spans="1:17" ht="15" customHeight="1">
      <c r="A35" s="47"/>
      <c r="B35" s="1055" t="s">
        <v>1237</v>
      </c>
      <c r="C35" s="1055"/>
      <c r="D35" s="2" t="s">
        <v>1238</v>
      </c>
      <c r="E35" s="2"/>
      <c r="F35" s="2"/>
      <c r="G35" s="2"/>
      <c r="H35" s="2"/>
      <c r="I35" s="2"/>
      <c r="J35" s="2"/>
      <c r="K35" s="2"/>
      <c r="L35" s="2"/>
      <c r="M35" s="2"/>
      <c r="N35" s="56">
        <v>156</v>
      </c>
      <c r="O35" s="56">
        <v>345</v>
      </c>
      <c r="P35" s="57">
        <v>345</v>
      </c>
      <c r="Q35" s="92">
        <f t="shared" si="1"/>
        <v>100</v>
      </c>
    </row>
    <row r="36" spans="1:17" ht="15" customHeight="1">
      <c r="A36" s="47"/>
      <c r="B36" s="1055" t="s">
        <v>1239</v>
      </c>
      <c r="C36" s="1055"/>
      <c r="D36" s="2" t="s">
        <v>1240</v>
      </c>
      <c r="E36" s="2"/>
      <c r="F36" s="2"/>
      <c r="G36" s="2"/>
      <c r="H36" s="2"/>
      <c r="I36" s="2"/>
      <c r="J36" s="2"/>
      <c r="K36" s="2"/>
      <c r="L36" s="2"/>
      <c r="M36" s="2"/>
      <c r="N36" s="56"/>
      <c r="O36" s="56">
        <v>18296</v>
      </c>
      <c r="P36" s="57">
        <v>18296</v>
      </c>
      <c r="Q36" s="92">
        <f t="shared" si="1"/>
        <v>100</v>
      </c>
    </row>
    <row r="37" spans="1:17" ht="15" customHeight="1">
      <c r="A37" s="47"/>
      <c r="B37" s="93"/>
      <c r="C37" s="93"/>
      <c r="D37" s="2" t="s">
        <v>1241</v>
      </c>
      <c r="E37" s="2"/>
      <c r="F37" s="2"/>
      <c r="G37" s="2"/>
      <c r="H37" s="2"/>
      <c r="I37" s="2"/>
      <c r="J37" s="2"/>
      <c r="K37" s="2"/>
      <c r="L37" s="2"/>
      <c r="M37" s="2"/>
      <c r="N37" s="56"/>
      <c r="O37" s="56"/>
      <c r="P37" s="57"/>
      <c r="Q37" s="92"/>
    </row>
    <row r="38" spans="1:17" ht="15" customHeight="1">
      <c r="A38" s="47"/>
      <c r="B38" s="1055" t="s">
        <v>1242</v>
      </c>
      <c r="C38" s="1055"/>
      <c r="D38" s="2" t="s">
        <v>1243</v>
      </c>
      <c r="E38" s="2"/>
      <c r="F38" s="2"/>
      <c r="G38" s="2"/>
      <c r="H38" s="2"/>
      <c r="I38" s="2"/>
      <c r="J38" s="2"/>
      <c r="K38" s="2"/>
      <c r="L38" s="2"/>
      <c r="M38" s="2"/>
      <c r="N38" s="56"/>
      <c r="O38" s="56">
        <v>817</v>
      </c>
      <c r="P38" s="57">
        <v>817</v>
      </c>
      <c r="Q38" s="92">
        <f t="shared" si="1"/>
        <v>100</v>
      </c>
    </row>
    <row r="39" spans="1:17" ht="15" customHeight="1">
      <c r="A39" s="47"/>
      <c r="B39" s="1055" t="s">
        <v>1244</v>
      </c>
      <c r="C39" s="1055"/>
      <c r="D39" s="2" t="s">
        <v>1245</v>
      </c>
      <c r="E39" s="2"/>
      <c r="F39" s="2"/>
      <c r="G39" s="2"/>
      <c r="H39" s="2"/>
      <c r="I39" s="2"/>
      <c r="J39" s="2"/>
      <c r="K39" s="2"/>
      <c r="L39" s="2"/>
      <c r="M39" s="2"/>
      <c r="N39" s="56"/>
      <c r="O39" s="56">
        <v>1186</v>
      </c>
      <c r="P39" s="57">
        <v>1186</v>
      </c>
      <c r="Q39" s="92">
        <f t="shared" si="1"/>
        <v>100</v>
      </c>
    </row>
    <row r="40" spans="1:17" ht="15" customHeight="1">
      <c r="A40" s="47"/>
      <c r="B40" s="1055" t="s">
        <v>1246</v>
      </c>
      <c r="C40" s="1055"/>
      <c r="D40" s="2" t="s">
        <v>1247</v>
      </c>
      <c r="E40" s="2"/>
      <c r="F40" s="2"/>
      <c r="G40" s="2"/>
      <c r="H40" s="2"/>
      <c r="I40" s="2"/>
      <c r="J40" s="2"/>
      <c r="K40" s="2"/>
      <c r="L40" s="2"/>
      <c r="M40" s="2"/>
      <c r="N40" s="56"/>
      <c r="O40" s="56">
        <v>1275</v>
      </c>
      <c r="P40" s="57">
        <v>1275</v>
      </c>
      <c r="Q40" s="92">
        <f t="shared" si="1"/>
        <v>100</v>
      </c>
    </row>
    <row r="41" spans="1:17" ht="15" customHeight="1">
      <c r="A41" s="47"/>
      <c r="B41" s="1055" t="s">
        <v>1248</v>
      </c>
      <c r="C41" s="1055"/>
      <c r="D41" s="2" t="s">
        <v>1249</v>
      </c>
      <c r="E41" s="2"/>
      <c r="F41" s="2"/>
      <c r="G41" s="2"/>
      <c r="H41" s="2"/>
      <c r="I41" s="2"/>
      <c r="J41" s="2"/>
      <c r="K41" s="2"/>
      <c r="L41" s="2"/>
      <c r="M41" s="2"/>
      <c r="N41" s="56"/>
      <c r="O41" s="56">
        <v>262</v>
      </c>
      <c r="P41" s="57">
        <v>262</v>
      </c>
      <c r="Q41" s="92">
        <f t="shared" si="1"/>
        <v>100</v>
      </c>
    </row>
    <row r="42" spans="1:17" ht="15" customHeight="1">
      <c r="A42" s="47"/>
      <c r="B42" s="1055" t="s">
        <v>1250</v>
      </c>
      <c r="C42" s="1055"/>
      <c r="D42" s="2" t="s">
        <v>1251</v>
      </c>
      <c r="E42" s="2"/>
      <c r="F42" s="2"/>
      <c r="G42" s="2"/>
      <c r="H42" s="2"/>
      <c r="I42" s="2"/>
      <c r="J42" s="2"/>
      <c r="K42" s="2"/>
      <c r="L42" s="2"/>
      <c r="M42" s="2"/>
      <c r="N42" s="56"/>
      <c r="O42" s="56">
        <v>464</v>
      </c>
      <c r="P42" s="57">
        <v>464</v>
      </c>
      <c r="Q42" s="92">
        <f t="shared" si="1"/>
        <v>100</v>
      </c>
    </row>
    <row r="43" spans="1:17" ht="15" customHeight="1">
      <c r="A43" s="47"/>
      <c r="B43" s="1055" t="s">
        <v>1252</v>
      </c>
      <c r="C43" s="1055"/>
      <c r="D43" s="2" t="s">
        <v>1253</v>
      </c>
      <c r="E43" s="2"/>
      <c r="F43" s="2"/>
      <c r="G43" s="2"/>
      <c r="H43" s="2"/>
      <c r="I43" s="2"/>
      <c r="J43" s="2"/>
      <c r="K43" s="2"/>
      <c r="L43" s="2"/>
      <c r="M43" s="2"/>
      <c r="N43" s="56"/>
      <c r="O43" s="56">
        <v>523</v>
      </c>
      <c r="P43" s="57">
        <v>523</v>
      </c>
      <c r="Q43" s="92">
        <f t="shared" si="1"/>
        <v>100</v>
      </c>
    </row>
    <row r="44" spans="1:17" ht="15" customHeight="1">
      <c r="A44" s="47"/>
      <c r="B44" s="1055" t="s">
        <v>1254</v>
      </c>
      <c r="C44" s="1055"/>
      <c r="D44" s="2" t="s">
        <v>1255</v>
      </c>
      <c r="E44" s="2"/>
      <c r="F44" s="2"/>
      <c r="G44" s="2"/>
      <c r="H44" s="2"/>
      <c r="I44" s="2"/>
      <c r="J44" s="2"/>
      <c r="K44" s="2"/>
      <c r="L44" s="2"/>
      <c r="M44" s="2"/>
      <c r="N44" s="56"/>
      <c r="O44" s="56">
        <v>429</v>
      </c>
      <c r="P44" s="57">
        <v>429</v>
      </c>
      <c r="Q44" s="92">
        <f t="shared" si="1"/>
        <v>100</v>
      </c>
    </row>
    <row r="45" spans="1:17" ht="15" customHeight="1">
      <c r="A45" s="211" t="s">
        <v>1168</v>
      </c>
      <c r="B45" s="209" t="s">
        <v>1256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13">
        <f>SUM(N29:N35)</f>
        <v>102791</v>
      </c>
      <c r="O45" s="213">
        <f>SUM(O29:O44)</f>
        <v>129801</v>
      </c>
      <c r="P45" s="95">
        <f>SUM(P29:P44)</f>
        <v>129801</v>
      </c>
      <c r="Q45" s="96">
        <f t="shared" si="1"/>
        <v>100</v>
      </c>
    </row>
    <row r="46" spans="1:17" ht="15" customHeight="1">
      <c r="A46" s="20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13"/>
      <c r="O46" s="213"/>
      <c r="P46" s="57"/>
      <c r="Q46" s="92"/>
    </row>
    <row r="47" spans="1:17" ht="15" customHeight="1">
      <c r="A47" s="220" t="s">
        <v>1169</v>
      </c>
      <c r="B47" s="209" t="s">
        <v>1257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13"/>
      <c r="O47" s="213"/>
      <c r="P47" s="57"/>
      <c r="Q47" s="92"/>
    </row>
    <row r="48" spans="1:17" ht="15" customHeight="1">
      <c r="A48" s="221"/>
      <c r="B48" s="1055" t="s">
        <v>1258</v>
      </c>
      <c r="C48" s="1055"/>
      <c r="D48" s="2" t="s">
        <v>1259</v>
      </c>
      <c r="E48" s="2"/>
      <c r="F48" s="2"/>
      <c r="G48" s="2"/>
      <c r="H48" s="2"/>
      <c r="I48" s="2"/>
      <c r="J48" s="2"/>
      <c r="K48" s="2"/>
      <c r="L48" s="2"/>
      <c r="M48" s="2"/>
      <c r="N48" s="56">
        <v>2500</v>
      </c>
      <c r="O48" s="56">
        <v>2500</v>
      </c>
      <c r="P48" s="57"/>
      <c r="Q48" s="92"/>
    </row>
    <row r="49" spans="1:17" ht="15" customHeight="1">
      <c r="A49" s="221"/>
      <c r="B49" s="1055" t="s">
        <v>1260</v>
      </c>
      <c r="C49" s="1055"/>
      <c r="D49" s="2" t="s">
        <v>1261</v>
      </c>
      <c r="E49" s="2"/>
      <c r="F49" s="2"/>
      <c r="G49" s="2"/>
      <c r="H49" s="2"/>
      <c r="I49" s="2"/>
      <c r="J49" s="2"/>
      <c r="K49" s="2"/>
      <c r="L49" s="2"/>
      <c r="M49" s="2"/>
      <c r="N49" s="56">
        <v>11000</v>
      </c>
      <c r="O49" s="56">
        <v>11132</v>
      </c>
      <c r="P49" s="57">
        <v>11132</v>
      </c>
      <c r="Q49" s="92">
        <f t="shared" si="1"/>
        <v>100</v>
      </c>
    </row>
    <row r="50" spans="1:17" ht="15" customHeight="1">
      <c r="A50" s="221"/>
      <c r="B50" s="1055" t="s">
        <v>1262</v>
      </c>
      <c r="C50" s="1055"/>
      <c r="D50" s="2" t="s">
        <v>1263</v>
      </c>
      <c r="E50" s="2"/>
      <c r="F50" s="2"/>
      <c r="G50" s="2"/>
      <c r="H50" s="2"/>
      <c r="I50" s="2"/>
      <c r="J50" s="2"/>
      <c r="K50" s="2"/>
      <c r="L50" s="2"/>
      <c r="M50" s="2"/>
      <c r="N50" s="56">
        <v>46465</v>
      </c>
      <c r="O50" s="56">
        <v>40</v>
      </c>
      <c r="P50" s="57"/>
      <c r="Q50" s="92"/>
    </row>
    <row r="51" spans="1:17" ht="15" customHeight="1">
      <c r="A51" s="221"/>
      <c r="B51" s="1055" t="s">
        <v>1264</v>
      </c>
      <c r="C51" s="1055"/>
      <c r="D51" s="2" t="s">
        <v>1265</v>
      </c>
      <c r="E51" s="2"/>
      <c r="F51" s="2"/>
      <c r="G51" s="2"/>
      <c r="H51" s="2"/>
      <c r="I51" s="2"/>
      <c r="J51" s="2"/>
      <c r="K51" s="2"/>
      <c r="L51" s="2"/>
      <c r="M51" s="2"/>
      <c r="N51" s="56">
        <v>8697</v>
      </c>
      <c r="O51" s="56">
        <v>8697</v>
      </c>
      <c r="P51" s="57">
        <v>8697</v>
      </c>
      <c r="Q51" s="92">
        <f t="shared" si="1"/>
        <v>100</v>
      </c>
    </row>
    <row r="52" spans="1:17" ht="15" customHeight="1">
      <c r="A52" s="221"/>
      <c r="B52" s="222"/>
      <c r="C52" s="93"/>
      <c r="D52" s="2" t="s">
        <v>1266</v>
      </c>
      <c r="E52" s="2"/>
      <c r="F52" s="2"/>
      <c r="G52" s="2"/>
      <c r="H52" s="2"/>
      <c r="I52" s="2"/>
      <c r="J52" s="2"/>
      <c r="K52" s="2"/>
      <c r="L52" s="2"/>
      <c r="M52" s="2"/>
      <c r="N52" s="56"/>
      <c r="O52" s="56"/>
      <c r="P52" s="57"/>
      <c r="Q52" s="92"/>
    </row>
    <row r="53" spans="1:17" ht="15" customHeight="1">
      <c r="A53" s="221"/>
      <c r="B53" s="222"/>
      <c r="C53" s="93"/>
      <c r="D53" s="2" t="s">
        <v>1267</v>
      </c>
      <c r="E53" s="2"/>
      <c r="F53" s="2"/>
      <c r="G53" s="2"/>
      <c r="H53" s="2"/>
      <c r="I53" s="2"/>
      <c r="J53" s="2"/>
      <c r="K53" s="2"/>
      <c r="L53" s="2"/>
      <c r="M53" s="2"/>
      <c r="N53" s="56"/>
      <c r="O53" s="56"/>
      <c r="P53" s="57"/>
      <c r="Q53" s="92"/>
    </row>
    <row r="54" spans="1:17" ht="15" customHeight="1">
      <c r="A54" s="221"/>
      <c r="B54" s="1055" t="s">
        <v>1268</v>
      </c>
      <c r="C54" s="1055"/>
      <c r="D54" s="2" t="s">
        <v>1269</v>
      </c>
      <c r="E54" s="2"/>
      <c r="F54" s="2"/>
      <c r="G54" s="2"/>
      <c r="H54" s="2"/>
      <c r="I54" s="2"/>
      <c r="J54" s="2"/>
      <c r="K54" s="2"/>
      <c r="L54" s="2"/>
      <c r="M54" s="2"/>
      <c r="N54" s="56">
        <v>19000</v>
      </c>
      <c r="O54" s="56"/>
      <c r="P54" s="53"/>
      <c r="Q54" s="92"/>
    </row>
    <row r="55" spans="1:17" ht="15" customHeight="1">
      <c r="A55" s="221"/>
      <c r="B55" s="1055" t="s">
        <v>1270</v>
      </c>
      <c r="C55" s="1055"/>
      <c r="D55" s="2" t="s">
        <v>1271</v>
      </c>
      <c r="E55" s="2"/>
      <c r="F55" s="2"/>
      <c r="G55" s="2"/>
      <c r="H55" s="2"/>
      <c r="I55" s="2"/>
      <c r="J55" s="2"/>
      <c r="K55" s="2"/>
      <c r="L55" s="2"/>
      <c r="M55" s="2"/>
      <c r="N55" s="56"/>
      <c r="O55" s="56">
        <v>71</v>
      </c>
      <c r="P55" s="57"/>
      <c r="Q55" s="92"/>
    </row>
    <row r="56" spans="1:17" ht="15" customHeight="1">
      <c r="A56" s="221"/>
      <c r="B56" s="222"/>
      <c r="C56" s="93"/>
      <c r="D56" s="2" t="s">
        <v>1272</v>
      </c>
      <c r="E56" s="2"/>
      <c r="F56" s="2"/>
      <c r="G56" s="2"/>
      <c r="H56" s="2"/>
      <c r="I56" s="2"/>
      <c r="J56" s="2"/>
      <c r="K56" s="2"/>
      <c r="L56" s="2"/>
      <c r="M56" s="2"/>
      <c r="N56" s="56"/>
      <c r="O56" s="56"/>
      <c r="P56" s="57"/>
      <c r="Q56" s="92"/>
    </row>
    <row r="57" spans="1:17" ht="15" customHeight="1">
      <c r="A57" s="221"/>
      <c r="B57" s="1055" t="s">
        <v>1273</v>
      </c>
      <c r="C57" s="1055"/>
      <c r="D57" s="2" t="s">
        <v>1274</v>
      </c>
      <c r="E57" s="2"/>
      <c r="F57" s="2"/>
      <c r="G57" s="2"/>
      <c r="H57" s="2"/>
      <c r="I57" s="2"/>
      <c r="J57" s="2"/>
      <c r="K57" s="2"/>
      <c r="L57" s="2"/>
      <c r="M57" s="2"/>
      <c r="N57" s="56"/>
      <c r="O57" s="56">
        <v>11054</v>
      </c>
      <c r="P57" s="57">
        <v>11054</v>
      </c>
      <c r="Q57" s="92">
        <f t="shared" si="1"/>
        <v>100</v>
      </c>
    </row>
    <row r="58" spans="1:17" ht="15" customHeight="1">
      <c r="A58" s="221"/>
      <c r="B58" s="1055" t="s">
        <v>1275</v>
      </c>
      <c r="C58" s="1055"/>
      <c r="D58" s="2" t="s">
        <v>1276</v>
      </c>
      <c r="E58" s="2"/>
      <c r="F58" s="2"/>
      <c r="G58" s="2"/>
      <c r="H58" s="2"/>
      <c r="I58" s="2"/>
      <c r="J58" s="2"/>
      <c r="K58" s="2"/>
      <c r="L58" s="2"/>
      <c r="M58" s="2"/>
      <c r="N58" s="56"/>
      <c r="O58" s="56">
        <v>3000</v>
      </c>
      <c r="P58" s="57">
        <v>3000</v>
      </c>
      <c r="Q58" s="92">
        <f t="shared" si="1"/>
        <v>100</v>
      </c>
    </row>
    <row r="59" spans="1:17" ht="15" customHeight="1">
      <c r="A59" s="221"/>
      <c r="B59" s="222"/>
      <c r="C59" s="93"/>
      <c r="D59" s="2" t="s">
        <v>1277</v>
      </c>
      <c r="E59" s="2"/>
      <c r="F59" s="2"/>
      <c r="G59" s="2"/>
      <c r="H59" s="2"/>
      <c r="I59" s="2"/>
      <c r="J59" s="2"/>
      <c r="K59" s="2"/>
      <c r="L59" s="2"/>
      <c r="M59" s="2"/>
      <c r="N59" s="56"/>
      <c r="O59" s="56"/>
      <c r="P59" s="57"/>
      <c r="Q59" s="92"/>
    </row>
    <row r="60" spans="1:17" ht="15" customHeight="1">
      <c r="A60" s="221"/>
      <c r="B60" s="1066" t="s">
        <v>1278</v>
      </c>
      <c r="C60" s="1066"/>
      <c r="D60" s="2" t="s">
        <v>1279</v>
      </c>
      <c r="E60" s="2"/>
      <c r="F60" s="2"/>
      <c r="G60" s="2"/>
      <c r="H60" s="2"/>
      <c r="I60" s="2"/>
      <c r="J60" s="2"/>
      <c r="K60" s="2"/>
      <c r="L60" s="2"/>
      <c r="M60" s="2"/>
      <c r="N60" s="56"/>
      <c r="O60" s="56"/>
      <c r="P60" s="57">
        <v>757</v>
      </c>
      <c r="Q60" s="92"/>
    </row>
    <row r="61" spans="1:17" ht="15" customHeight="1">
      <c r="A61" s="221"/>
      <c r="B61" s="1066" t="s">
        <v>1280</v>
      </c>
      <c r="C61" s="1066"/>
      <c r="D61" s="2" t="s">
        <v>1281</v>
      </c>
      <c r="E61" s="2"/>
      <c r="F61" s="2"/>
      <c r="G61" s="2"/>
      <c r="H61" s="2"/>
      <c r="I61" s="2"/>
      <c r="J61" s="2"/>
      <c r="K61" s="2"/>
      <c r="L61" s="2"/>
      <c r="M61" s="2"/>
      <c r="N61" s="56"/>
      <c r="O61" s="56"/>
      <c r="P61" s="57">
        <v>1137</v>
      </c>
      <c r="Q61" s="92"/>
    </row>
    <row r="62" spans="1:17" ht="15" customHeight="1">
      <c r="A62" s="220" t="s">
        <v>1169</v>
      </c>
      <c r="B62" s="209" t="s">
        <v>1282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13">
        <f>SUM(N48:N55)</f>
        <v>87662</v>
      </c>
      <c r="O62" s="213">
        <f>SUM(O48:O58)</f>
        <v>36494</v>
      </c>
      <c r="P62" s="97">
        <f>SUM(P48:P61)</f>
        <v>35777</v>
      </c>
      <c r="Q62" s="96">
        <f t="shared" si="1"/>
        <v>98</v>
      </c>
    </row>
    <row r="63" spans="1:17" ht="15" customHeight="1">
      <c r="A63" s="22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13"/>
      <c r="O63" s="213"/>
      <c r="P63" s="57"/>
      <c r="Q63" s="91"/>
    </row>
    <row r="64" spans="1:17" ht="15" customHeight="1">
      <c r="A64" s="220" t="s">
        <v>1175</v>
      </c>
      <c r="B64" s="209" t="s">
        <v>1283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13"/>
      <c r="O64" s="213"/>
      <c r="P64" s="57"/>
      <c r="Q64" s="91"/>
    </row>
    <row r="65" spans="1:17" ht="15" customHeight="1">
      <c r="A65" s="221"/>
      <c r="B65" s="1055" t="s">
        <v>1284</v>
      </c>
      <c r="C65" s="1055"/>
      <c r="D65" s="2" t="s">
        <v>1285</v>
      </c>
      <c r="E65" s="2"/>
      <c r="F65" s="2"/>
      <c r="G65" s="2"/>
      <c r="H65" s="2"/>
      <c r="I65" s="2"/>
      <c r="J65" s="2"/>
      <c r="K65" s="2"/>
      <c r="L65" s="2"/>
      <c r="M65" s="2"/>
      <c r="N65" s="56">
        <v>16689</v>
      </c>
      <c r="O65" s="56"/>
      <c r="P65" s="57"/>
      <c r="Q65" s="91"/>
    </row>
    <row r="66" spans="1:17" ht="15" customHeight="1">
      <c r="A66" s="221"/>
      <c r="B66" s="1055" t="s">
        <v>1286</v>
      </c>
      <c r="C66" s="1055"/>
      <c r="D66" s="2" t="s">
        <v>1287</v>
      </c>
      <c r="E66" s="2"/>
      <c r="F66" s="2"/>
      <c r="G66" s="2"/>
      <c r="H66" s="2"/>
      <c r="I66" s="2"/>
      <c r="J66" s="2"/>
      <c r="K66" s="2"/>
      <c r="L66" s="2"/>
      <c r="M66" s="2"/>
      <c r="N66" s="56">
        <v>64390</v>
      </c>
      <c r="O66" s="56"/>
      <c r="P66" s="57"/>
      <c r="Q66" s="34"/>
    </row>
    <row r="67" spans="1:17" ht="15" customHeight="1">
      <c r="A67" s="221"/>
      <c r="B67" s="1055" t="s">
        <v>1288</v>
      </c>
      <c r="C67" s="1055"/>
      <c r="D67" s="2" t="s">
        <v>1289</v>
      </c>
      <c r="E67" s="2"/>
      <c r="F67" s="2"/>
      <c r="G67" s="2"/>
      <c r="H67" s="2"/>
      <c r="I67" s="2"/>
      <c r="J67" s="2"/>
      <c r="K67" s="2"/>
      <c r="L67" s="2"/>
      <c r="M67" s="2"/>
      <c r="N67" s="56">
        <v>1500</v>
      </c>
      <c r="O67" s="56"/>
      <c r="P67" s="57"/>
      <c r="Q67" s="91"/>
    </row>
    <row r="68" spans="1:17" ht="15" customHeight="1">
      <c r="A68" s="221"/>
      <c r="B68" s="48"/>
      <c r="C68" s="48"/>
      <c r="D68" s="2" t="s">
        <v>1290</v>
      </c>
      <c r="E68" s="2"/>
      <c r="F68" s="2"/>
      <c r="G68" s="2"/>
      <c r="H68" s="2"/>
      <c r="I68" s="2"/>
      <c r="J68" s="2"/>
      <c r="K68" s="2"/>
      <c r="L68" s="2"/>
      <c r="M68" s="2"/>
      <c r="N68" s="213"/>
      <c r="O68" s="213"/>
      <c r="P68" s="57"/>
      <c r="Q68" s="91"/>
    </row>
    <row r="69" spans="1:17" ht="15" customHeight="1">
      <c r="A69" s="221"/>
      <c r="B69" s="1055" t="s">
        <v>1291</v>
      </c>
      <c r="C69" s="1055"/>
      <c r="D69" s="2" t="s">
        <v>1292</v>
      </c>
      <c r="E69" s="2"/>
      <c r="F69" s="2"/>
      <c r="G69" s="2"/>
      <c r="H69" s="2"/>
      <c r="I69" s="2"/>
      <c r="J69" s="2"/>
      <c r="K69" s="2"/>
      <c r="L69" s="2"/>
      <c r="M69" s="2"/>
      <c r="N69" s="213"/>
      <c r="O69" s="56"/>
      <c r="P69" s="57"/>
      <c r="Q69" s="91"/>
    </row>
    <row r="70" spans="1:17" ht="15" customHeight="1">
      <c r="A70" s="220" t="s">
        <v>1175</v>
      </c>
      <c r="B70" s="209" t="s">
        <v>1293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13">
        <f>SUM(N65:N69)</f>
        <v>82579</v>
      </c>
      <c r="O70" s="213">
        <f>SUM(O65:O69)</f>
        <v>0</v>
      </c>
      <c r="P70" s="97">
        <f>SUM(P65:P69)</f>
        <v>0</v>
      </c>
      <c r="Q70" s="214"/>
    </row>
    <row r="71" spans="1:17" ht="15" customHeight="1">
      <c r="A71" s="208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13"/>
      <c r="O71" s="213"/>
      <c r="P71" s="57"/>
      <c r="Q71" s="91"/>
    </row>
    <row r="72" spans="1:17" ht="15" customHeight="1">
      <c r="A72" s="211" t="s">
        <v>1172</v>
      </c>
      <c r="B72" s="209" t="s">
        <v>1294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13">
        <v>7934</v>
      </c>
      <c r="O72" s="213">
        <v>7934</v>
      </c>
      <c r="P72" s="95">
        <v>7934</v>
      </c>
      <c r="Q72" s="96">
        <f aca="true" t="shared" si="2" ref="Q72:Q81">ROUND(100*P72/O72,1)</f>
        <v>100</v>
      </c>
    </row>
    <row r="73" spans="1:17" ht="15" customHeight="1">
      <c r="A73" s="208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13"/>
      <c r="O73" s="213"/>
      <c r="P73" s="57"/>
      <c r="Q73" s="91"/>
    </row>
    <row r="74" spans="1:17" ht="15" customHeight="1">
      <c r="A74" s="211" t="s">
        <v>1180</v>
      </c>
      <c r="B74" s="209" t="s">
        <v>1295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13"/>
      <c r="O74" s="213"/>
      <c r="P74" s="57"/>
      <c r="Q74" s="214"/>
    </row>
    <row r="75" spans="1:17" ht="15" customHeight="1">
      <c r="A75" s="208"/>
      <c r="B75" s="1055" t="s">
        <v>1296</v>
      </c>
      <c r="C75" s="1055"/>
      <c r="D75" s="2" t="s">
        <v>1297</v>
      </c>
      <c r="E75" s="2"/>
      <c r="F75" s="2"/>
      <c r="G75" s="2"/>
      <c r="H75" s="2"/>
      <c r="I75" s="2"/>
      <c r="J75" s="2"/>
      <c r="K75" s="2"/>
      <c r="L75" s="2"/>
      <c r="M75" s="2"/>
      <c r="N75" s="56">
        <v>6000</v>
      </c>
      <c r="O75" s="56">
        <v>6000</v>
      </c>
      <c r="P75" s="57">
        <v>3014</v>
      </c>
      <c r="Q75" s="92">
        <f t="shared" si="2"/>
        <v>50.2</v>
      </c>
    </row>
    <row r="76" spans="1:17" ht="15" customHeight="1">
      <c r="A76" s="208"/>
      <c r="B76" s="1055" t="s">
        <v>1298</v>
      </c>
      <c r="C76" s="1055"/>
      <c r="D76" s="2" t="s">
        <v>1299</v>
      </c>
      <c r="E76" s="2"/>
      <c r="F76" s="2"/>
      <c r="G76" s="2"/>
      <c r="H76" s="2"/>
      <c r="I76" s="2"/>
      <c r="J76" s="2"/>
      <c r="K76" s="2"/>
      <c r="L76" s="2"/>
      <c r="M76" s="2"/>
      <c r="N76" s="213"/>
      <c r="O76" s="56">
        <v>21610</v>
      </c>
      <c r="P76" s="57">
        <v>21607</v>
      </c>
      <c r="Q76" s="92">
        <f t="shared" si="2"/>
        <v>100</v>
      </c>
    </row>
    <row r="77" spans="1:17" ht="15" customHeight="1">
      <c r="A77" s="211" t="s">
        <v>1180</v>
      </c>
      <c r="B77" s="209" t="s">
        <v>1300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13">
        <f>SUM(N75:N76)</f>
        <v>6000</v>
      </c>
      <c r="O77" s="213">
        <f>SUM(O75:O76)</f>
        <v>27610</v>
      </c>
      <c r="P77" s="97">
        <f>SUM(P75:P76)</f>
        <v>24621</v>
      </c>
      <c r="Q77" s="96">
        <f t="shared" si="2"/>
        <v>89.2</v>
      </c>
    </row>
    <row r="78" spans="1:17" ht="15" customHeight="1">
      <c r="A78" s="208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13"/>
      <c r="O78" s="213"/>
      <c r="P78" s="57"/>
      <c r="Q78" s="214"/>
    </row>
    <row r="79" spans="1:17" ht="15" customHeight="1">
      <c r="A79" s="211" t="s">
        <v>1183</v>
      </c>
      <c r="B79" s="209" t="s">
        <v>1301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13"/>
      <c r="O79" s="213">
        <v>296465</v>
      </c>
      <c r="P79" s="95">
        <v>296465</v>
      </c>
      <c r="Q79" s="96">
        <f t="shared" si="2"/>
        <v>100</v>
      </c>
    </row>
    <row r="80" spans="1:17" ht="15" customHeight="1">
      <c r="A80" s="47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56"/>
      <c r="O80" s="56"/>
      <c r="P80" s="57"/>
      <c r="Q80" s="91"/>
    </row>
    <row r="81" spans="1:17" ht="25.5" customHeight="1">
      <c r="A81" s="224" t="s">
        <v>1176</v>
      </c>
      <c r="B81" s="225" t="s">
        <v>1302</v>
      </c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7">
        <f>SUM(N79,N77,N72,N70,N62,N45,N26,N20,N12)</f>
        <v>324713</v>
      </c>
      <c r="O81" s="227">
        <f>SUM(O79,O77,O72,O70,O62,O45,O26,O20,O12)</f>
        <v>578317</v>
      </c>
      <c r="P81" s="228">
        <f>SUM(P79,P77,P72,P70,P62,P45,P26,P20,P12)</f>
        <v>574301</v>
      </c>
      <c r="Q81" s="229">
        <f t="shared" si="2"/>
        <v>99.3</v>
      </c>
    </row>
  </sheetData>
  <mergeCells count="39">
    <mergeCell ref="P1:Q1"/>
    <mergeCell ref="A3:Q3"/>
    <mergeCell ref="A4:Q4"/>
    <mergeCell ref="A7:M7"/>
    <mergeCell ref="B15:C15"/>
    <mergeCell ref="B16:C16"/>
    <mergeCell ref="B17:C17"/>
    <mergeCell ref="B18:C18"/>
    <mergeCell ref="B19:C19"/>
    <mergeCell ref="B23:C23"/>
    <mergeCell ref="B25:C25"/>
    <mergeCell ref="B29:C29"/>
    <mergeCell ref="B31:C31"/>
    <mergeCell ref="B33:C33"/>
    <mergeCell ref="B35:C35"/>
    <mergeCell ref="B36:C36"/>
    <mergeCell ref="B38:C38"/>
    <mergeCell ref="B39:C39"/>
    <mergeCell ref="B40:C40"/>
    <mergeCell ref="B41:C41"/>
    <mergeCell ref="B42:C42"/>
    <mergeCell ref="B43:C43"/>
    <mergeCell ref="B44:C44"/>
    <mergeCell ref="B48:C48"/>
    <mergeCell ref="B49:C49"/>
    <mergeCell ref="B50:C50"/>
    <mergeCell ref="B51:C51"/>
    <mergeCell ref="B54:C54"/>
    <mergeCell ref="B55:C55"/>
    <mergeCell ref="B57:C57"/>
    <mergeCell ref="B58:C58"/>
    <mergeCell ref="B60:C60"/>
    <mergeCell ref="B69:C69"/>
    <mergeCell ref="B75:C75"/>
    <mergeCell ref="B76:C76"/>
    <mergeCell ref="B61:C61"/>
    <mergeCell ref="B65:C65"/>
    <mergeCell ref="B66:C66"/>
    <mergeCell ref="B67:C67"/>
  </mergeCells>
  <printOptions horizontalCentered="1"/>
  <pageMargins left="0.5902777777777778" right="0.7875" top="0.39375" bottom="0.5902777777777778" header="0.5118055555555556" footer="0.5118055555555556"/>
  <pageSetup fitToHeight="1" fitToWidth="1" horizontalDpi="300" verticalDpi="3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workbookViewId="0" topLeftCell="A40">
      <selection activeCell="H59" sqref="H59"/>
    </sheetView>
  </sheetViews>
  <sheetFormatPr defaultColWidth="9.140625" defaultRowHeight="12.75"/>
  <cols>
    <col min="1" max="1" width="4.140625" style="1" customWidth="1"/>
    <col min="2" max="7" width="2.57421875" style="1" customWidth="1"/>
    <col min="8" max="10" width="8.7109375" style="1" customWidth="1"/>
    <col min="11" max="11" width="14.00390625" style="1" customWidth="1"/>
    <col min="12" max="12" width="8.7109375" style="1" customWidth="1"/>
    <col min="13" max="13" width="10.28125" style="1" customWidth="1"/>
    <col min="14" max="14" width="10.8515625" style="1" customWidth="1"/>
    <col min="15" max="15" width="10.28125" style="1" customWidth="1"/>
    <col min="16" max="16" width="10.7109375" style="1" customWidth="1"/>
    <col min="17" max="16384" width="9.140625" style="1" customWidth="1"/>
  </cols>
  <sheetData>
    <row r="1" spans="1:16" ht="14.25">
      <c r="A1" s="2"/>
      <c r="B1" s="2"/>
      <c r="C1" s="2"/>
      <c r="D1" s="2"/>
      <c r="E1" s="2"/>
      <c r="F1" s="2"/>
      <c r="G1" s="2"/>
      <c r="H1" s="2"/>
      <c r="I1" s="2"/>
      <c r="J1" s="75"/>
      <c r="K1" s="2"/>
      <c r="O1" s="1052" t="s">
        <v>1303</v>
      </c>
      <c r="P1" s="1052"/>
    </row>
    <row r="2" spans="1:14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</row>
    <row r="3" spans="1:14" ht="14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6" ht="15">
      <c r="A4" s="1053" t="s">
        <v>1304</v>
      </c>
      <c r="B4" s="1053"/>
      <c r="C4" s="1053"/>
      <c r="D4" s="1053"/>
      <c r="E4" s="1053"/>
      <c r="F4" s="1053"/>
      <c r="G4" s="1053"/>
      <c r="H4" s="1053"/>
      <c r="I4" s="1053"/>
      <c r="J4" s="1053"/>
      <c r="K4" s="1053"/>
      <c r="L4" s="1053"/>
      <c r="M4" s="1053"/>
      <c r="N4" s="1053"/>
      <c r="O4" s="1053"/>
      <c r="P4" s="1053"/>
    </row>
    <row r="5" spans="1:16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4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75"/>
      <c r="N6" s="75"/>
    </row>
    <row r="7" spans="1:16" ht="14.25">
      <c r="A7" s="2"/>
      <c r="B7" s="2"/>
      <c r="C7" s="2"/>
      <c r="D7" s="2"/>
      <c r="E7" s="2"/>
      <c r="F7" s="2"/>
      <c r="G7" s="2"/>
      <c r="H7" s="2"/>
      <c r="I7" s="2"/>
      <c r="J7" s="3"/>
      <c r="K7" s="2"/>
      <c r="O7" s="1052" t="s">
        <v>1305</v>
      </c>
      <c r="P7" s="1052"/>
    </row>
    <row r="8" spans="1:16" ht="14.25">
      <c r="A8" s="1054" t="s">
        <v>960</v>
      </c>
      <c r="B8" s="1054"/>
      <c r="C8" s="1054"/>
      <c r="D8" s="1054"/>
      <c r="E8" s="1054"/>
      <c r="F8" s="1054"/>
      <c r="G8" s="1054"/>
      <c r="H8" s="1054"/>
      <c r="I8" s="1054"/>
      <c r="J8" s="1054"/>
      <c r="K8" s="1054"/>
      <c r="L8" s="1054"/>
      <c r="M8" s="10" t="s">
        <v>961</v>
      </c>
      <c r="N8" s="10" t="s">
        <v>962</v>
      </c>
      <c r="O8" s="10" t="s">
        <v>963</v>
      </c>
      <c r="P8" s="10" t="s">
        <v>964</v>
      </c>
    </row>
    <row r="9" spans="1:16" ht="15">
      <c r="A9" s="230" t="s">
        <v>1083</v>
      </c>
      <c r="B9" s="231"/>
      <c r="C9" s="231"/>
      <c r="D9" s="231"/>
      <c r="E9" s="231"/>
      <c r="F9" s="231"/>
      <c r="G9" s="231"/>
      <c r="H9" s="231" t="s">
        <v>1213</v>
      </c>
      <c r="I9" s="231"/>
      <c r="J9" s="231"/>
      <c r="K9" s="231"/>
      <c r="L9" s="231"/>
      <c r="M9" s="232" t="s">
        <v>1084</v>
      </c>
      <c r="N9" s="232" t="s">
        <v>978</v>
      </c>
      <c r="O9" s="114" t="s">
        <v>979</v>
      </c>
      <c r="P9" s="199" t="s">
        <v>979</v>
      </c>
    </row>
    <row r="10" spans="1:16" ht="14.25">
      <c r="A10" s="89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233" t="s">
        <v>985</v>
      </c>
      <c r="N10" s="233" t="s">
        <v>983</v>
      </c>
      <c r="O10" s="125"/>
      <c r="P10" s="203" t="s">
        <v>984</v>
      </c>
    </row>
    <row r="11" spans="1:16" ht="14.25">
      <c r="A11" s="89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233" t="s">
        <v>986</v>
      </c>
      <c r="N11" s="233"/>
      <c r="O11" s="83"/>
      <c r="P11" s="203"/>
    </row>
    <row r="12" spans="1:16" ht="14.25">
      <c r="A12" s="234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6"/>
      <c r="N12" s="236"/>
      <c r="O12" s="174"/>
      <c r="P12" s="175"/>
    </row>
    <row r="13" spans="1:16" ht="14.25">
      <c r="A13" s="89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237"/>
      <c r="N13" s="56"/>
      <c r="O13" s="57"/>
      <c r="P13" s="91"/>
    </row>
    <row r="14" spans="1:16" ht="14.25">
      <c r="A14" s="89" t="s">
        <v>987</v>
      </c>
      <c r="B14" s="48" t="s">
        <v>1306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56"/>
      <c r="N14" s="56">
        <v>5911</v>
      </c>
      <c r="O14" s="57">
        <v>5911</v>
      </c>
      <c r="P14" s="92">
        <f>ROUND(100*O14/N14,1)</f>
        <v>100</v>
      </c>
    </row>
    <row r="15" spans="1:16" ht="14.25">
      <c r="A15" s="89" t="s">
        <v>1030</v>
      </c>
      <c r="B15" s="48" t="s">
        <v>1307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56"/>
      <c r="N15" s="56"/>
      <c r="O15" s="57"/>
      <c r="P15" s="92"/>
    </row>
    <row r="16" spans="1:18" ht="14.25">
      <c r="A16" s="89" t="s">
        <v>1074</v>
      </c>
      <c r="B16" s="48" t="s">
        <v>1308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56"/>
      <c r="N16" s="56">
        <v>3668</v>
      </c>
      <c r="O16" s="57">
        <v>3669</v>
      </c>
      <c r="P16" s="92">
        <f aca="true" t="shared" si="0" ref="P16:P32">ROUND(100*O16/N16,1)</f>
        <v>100</v>
      </c>
      <c r="R16" s="101"/>
    </row>
    <row r="17" spans="1:18" ht="14.25">
      <c r="A17" s="89" t="s">
        <v>1168</v>
      </c>
      <c r="B17" s="48" t="s">
        <v>1309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56">
        <v>1539</v>
      </c>
      <c r="N17" s="56">
        <v>669</v>
      </c>
      <c r="O17" s="57">
        <v>669</v>
      </c>
      <c r="P17" s="92">
        <f t="shared" si="0"/>
        <v>100</v>
      </c>
      <c r="Q17" s="101"/>
      <c r="R17" s="101"/>
    </row>
    <row r="18" spans="1:17" ht="14.25">
      <c r="A18" s="89" t="s">
        <v>1169</v>
      </c>
      <c r="B18" s="48" t="s">
        <v>1310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56">
        <v>17442</v>
      </c>
      <c r="N18" s="56">
        <v>104123</v>
      </c>
      <c r="O18" s="57">
        <v>104123</v>
      </c>
      <c r="P18" s="92">
        <f t="shared" si="0"/>
        <v>100</v>
      </c>
      <c r="Q18" s="101"/>
    </row>
    <row r="19" spans="1:17" ht="14.25">
      <c r="A19" s="89" t="s">
        <v>1175</v>
      </c>
      <c r="B19" s="48" t="s">
        <v>1311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56"/>
      <c r="N19" s="56"/>
      <c r="O19" s="57"/>
      <c r="P19" s="92"/>
      <c r="Q19" s="101"/>
    </row>
    <row r="20" spans="1:16" ht="14.25">
      <c r="A20" s="89" t="s">
        <v>1172</v>
      </c>
      <c r="B20" s="48" t="s">
        <v>1312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56">
        <v>575</v>
      </c>
      <c r="N20" s="56">
        <v>2942</v>
      </c>
      <c r="O20" s="57">
        <v>2942</v>
      </c>
      <c r="P20" s="92">
        <f t="shared" si="0"/>
        <v>100</v>
      </c>
    </row>
    <row r="21" spans="1:16" ht="14.25">
      <c r="A21" s="89" t="s">
        <v>1180</v>
      </c>
      <c r="B21" s="48" t="s">
        <v>1313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56">
        <v>3120</v>
      </c>
      <c r="N21" s="56">
        <v>15881</v>
      </c>
      <c r="O21" s="57">
        <v>15881</v>
      </c>
      <c r="P21" s="92">
        <f t="shared" si="0"/>
        <v>100</v>
      </c>
    </row>
    <row r="22" spans="1:16" ht="14.25">
      <c r="A22" s="89" t="s">
        <v>1183</v>
      </c>
      <c r="B22" s="48" t="s">
        <v>1314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56"/>
      <c r="N22" s="56"/>
      <c r="O22" s="57"/>
      <c r="P22" s="92"/>
    </row>
    <row r="23" spans="1:18" ht="14.25">
      <c r="A23" s="89" t="s">
        <v>1176</v>
      </c>
      <c r="B23" s="48" t="s">
        <v>1315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56"/>
      <c r="N23" s="56">
        <v>434</v>
      </c>
      <c r="O23" s="57">
        <v>434</v>
      </c>
      <c r="P23" s="92">
        <f t="shared" si="0"/>
        <v>100</v>
      </c>
      <c r="R23" s="101"/>
    </row>
    <row r="24" spans="1:16" ht="14.25">
      <c r="A24" s="89" t="s">
        <v>1178</v>
      </c>
      <c r="B24" s="48" t="s">
        <v>1316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56"/>
      <c r="N24" s="56"/>
      <c r="O24" s="57"/>
      <c r="P24" s="92"/>
    </row>
    <row r="25" spans="1:16" ht="14.25">
      <c r="A25" s="89" t="s">
        <v>1181</v>
      </c>
      <c r="B25" s="48" t="s">
        <v>1317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56">
        <v>4712</v>
      </c>
      <c r="N25" s="56">
        <v>13339</v>
      </c>
      <c r="O25" s="57">
        <v>12648</v>
      </c>
      <c r="P25" s="92">
        <f t="shared" si="0"/>
        <v>94.8</v>
      </c>
    </row>
    <row r="26" spans="1:18" ht="14.25">
      <c r="A26" s="89" t="s">
        <v>1184</v>
      </c>
      <c r="B26" s="48" t="s">
        <v>1318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238"/>
      <c r="N26" s="238"/>
      <c r="O26" s="57"/>
      <c r="P26" s="92"/>
      <c r="R26" s="101"/>
    </row>
    <row r="27" spans="1:16" ht="14.25">
      <c r="A27" s="89" t="s">
        <v>1319</v>
      </c>
      <c r="B27" s="48" t="s">
        <v>1320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56">
        <v>6800</v>
      </c>
      <c r="N27" s="56">
        <v>5378</v>
      </c>
      <c r="O27" s="57">
        <v>5378</v>
      </c>
      <c r="P27" s="92">
        <f t="shared" si="0"/>
        <v>100</v>
      </c>
    </row>
    <row r="28" spans="1:19" ht="14.25">
      <c r="A28" s="89" t="s">
        <v>1321</v>
      </c>
      <c r="B28" s="48" t="s">
        <v>1322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56">
        <v>2280</v>
      </c>
      <c r="N28" s="56">
        <v>980</v>
      </c>
      <c r="O28" s="57">
        <v>1020</v>
      </c>
      <c r="P28" s="92">
        <f t="shared" si="0"/>
        <v>104.1</v>
      </c>
      <c r="R28" s="101"/>
      <c r="S28" s="101"/>
    </row>
    <row r="29" spans="1:16" ht="14.25">
      <c r="A29" s="89" t="s">
        <v>1188</v>
      </c>
      <c r="B29" s="48" t="s">
        <v>1323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56"/>
      <c r="N29" s="56">
        <v>10057</v>
      </c>
      <c r="O29" s="57">
        <v>10057</v>
      </c>
      <c r="P29" s="92">
        <f t="shared" si="0"/>
        <v>100</v>
      </c>
    </row>
    <row r="30" spans="1:16" ht="14.25">
      <c r="A30" s="89"/>
      <c r="B30" s="48" t="s">
        <v>1277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56"/>
      <c r="N30" s="56"/>
      <c r="O30" s="57"/>
      <c r="P30" s="92"/>
    </row>
    <row r="31" spans="1:18" ht="14.25">
      <c r="A31" s="89" t="s">
        <v>1324</v>
      </c>
      <c r="B31" s="48" t="s">
        <v>1325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56"/>
      <c r="N31" s="56"/>
      <c r="O31" s="57"/>
      <c r="P31" s="92"/>
      <c r="R31" s="101"/>
    </row>
    <row r="32" spans="1:16" ht="14.25">
      <c r="A32" s="89" t="s">
        <v>1326</v>
      </c>
      <c r="B32" s="48" t="s">
        <v>1131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56"/>
      <c r="N32" s="56">
        <v>1100</v>
      </c>
      <c r="O32" s="57">
        <v>1100</v>
      </c>
      <c r="P32" s="92">
        <f t="shared" si="0"/>
        <v>100</v>
      </c>
    </row>
    <row r="33" spans="1:16" ht="14.25">
      <c r="A33" s="89" t="s">
        <v>1327</v>
      </c>
      <c r="B33" s="48" t="s">
        <v>1328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56">
        <v>150</v>
      </c>
      <c r="N33" s="56">
        <v>0</v>
      </c>
      <c r="O33" s="57"/>
      <c r="P33" s="92"/>
    </row>
    <row r="34" spans="1:19" ht="14.25">
      <c r="A34" s="89" t="s">
        <v>1329</v>
      </c>
      <c r="B34" s="48" t="s">
        <v>1330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56"/>
      <c r="N34" s="56"/>
      <c r="O34" s="57"/>
      <c r="P34" s="92"/>
      <c r="S34" s="101"/>
    </row>
    <row r="35" spans="1:16" ht="15.75">
      <c r="A35" s="89" t="s">
        <v>1331</v>
      </c>
      <c r="B35" s="48" t="s">
        <v>1332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239">
        <f>SUM(M14:M34)</f>
        <v>36618</v>
      </c>
      <c r="N35" s="239">
        <f>SUM(N14:N34)</f>
        <v>164482</v>
      </c>
      <c r="O35" s="240">
        <f>SUM(O14:O34)</f>
        <v>163832</v>
      </c>
      <c r="P35" s="241">
        <f>ROUND(100*O35/N35,1)</f>
        <v>99.6</v>
      </c>
    </row>
    <row r="36" spans="1:16" ht="14.25">
      <c r="A36" s="89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56"/>
      <c r="N36" s="56"/>
      <c r="O36" s="57"/>
      <c r="P36" s="91"/>
    </row>
    <row r="37" spans="1:16" ht="14.25">
      <c r="A37" s="89" t="s">
        <v>1333</v>
      </c>
      <c r="B37" s="48" t="s">
        <v>1334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56"/>
      <c r="N37" s="56"/>
      <c r="O37" s="57"/>
      <c r="P37" s="91"/>
    </row>
    <row r="38" spans="1:16" ht="14.25">
      <c r="A38" s="89" t="s">
        <v>1335</v>
      </c>
      <c r="B38" s="48" t="s">
        <v>1336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56"/>
      <c r="N38" s="56"/>
      <c r="O38" s="57"/>
      <c r="P38" s="91"/>
    </row>
    <row r="39" spans="1:16" ht="14.25">
      <c r="A39" s="89" t="s">
        <v>1337</v>
      </c>
      <c r="B39" s="48" t="s">
        <v>1338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56"/>
      <c r="N39" s="56"/>
      <c r="O39" s="57"/>
      <c r="P39" s="91"/>
    </row>
    <row r="40" spans="1:16" ht="15">
      <c r="A40" s="89" t="s">
        <v>1339</v>
      </c>
      <c r="B40" s="48" t="s">
        <v>1320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213"/>
      <c r="N40" s="213"/>
      <c r="O40" s="57"/>
      <c r="P40" s="91"/>
    </row>
    <row r="41" spans="1:16" ht="15">
      <c r="A41" s="89" t="s">
        <v>1340</v>
      </c>
      <c r="B41" s="48" t="s">
        <v>1322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213"/>
      <c r="N41" s="213"/>
      <c r="O41" s="57"/>
      <c r="P41" s="91"/>
    </row>
    <row r="42" spans="1:16" ht="14.25">
      <c r="A42" s="89" t="s">
        <v>1341</v>
      </c>
      <c r="B42" s="48" t="s">
        <v>1342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56">
        <v>800</v>
      </c>
      <c r="N42" s="56"/>
      <c r="O42" s="57"/>
      <c r="P42" s="91"/>
    </row>
    <row r="43" spans="1:16" ht="14.25">
      <c r="A43" s="89" t="s">
        <v>1343</v>
      </c>
      <c r="B43" s="48" t="s">
        <v>1344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56">
        <v>400</v>
      </c>
      <c r="N43" s="56">
        <v>133</v>
      </c>
      <c r="O43" s="57">
        <v>133</v>
      </c>
      <c r="P43" s="92">
        <f>ROUND(100*O43/N43,1)</f>
        <v>100</v>
      </c>
    </row>
    <row r="44" spans="1:16" ht="14.25">
      <c r="A44" s="89" t="s">
        <v>1345</v>
      </c>
      <c r="B44" s="48" t="s">
        <v>1346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56"/>
      <c r="N44" s="56"/>
      <c r="O44" s="57"/>
      <c r="P44" s="91"/>
    </row>
    <row r="45" spans="1:16" ht="14.25">
      <c r="A45" s="89" t="s">
        <v>1347</v>
      </c>
      <c r="B45" s="48" t="s">
        <v>1348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56"/>
      <c r="N45" s="56"/>
      <c r="O45" s="57"/>
      <c r="P45" s="91"/>
    </row>
    <row r="46" spans="1:16" ht="14.25">
      <c r="A46" s="89" t="s">
        <v>1349</v>
      </c>
      <c r="B46" s="48" t="s">
        <v>1350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56"/>
      <c r="N46" s="56"/>
      <c r="O46" s="57"/>
      <c r="P46" s="91"/>
    </row>
    <row r="47" spans="1:18" ht="14.25">
      <c r="A47" s="89" t="s">
        <v>1351</v>
      </c>
      <c r="B47" s="48" t="s">
        <v>1352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56"/>
      <c r="N47" s="56"/>
      <c r="O47" s="57"/>
      <c r="P47" s="91"/>
      <c r="R47" s="101"/>
    </row>
    <row r="48" spans="1:16" ht="14.25">
      <c r="A48" s="89" t="s">
        <v>1353</v>
      </c>
      <c r="B48" s="48" t="s">
        <v>1354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56"/>
      <c r="N48" s="56"/>
      <c r="O48" s="57"/>
      <c r="P48" s="91"/>
    </row>
    <row r="49" spans="1:16" ht="19.5" customHeight="1">
      <c r="A49" s="89" t="s">
        <v>1355</v>
      </c>
      <c r="B49" s="48" t="s">
        <v>1356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239">
        <f>SUM(M37:M48)</f>
        <v>1200</v>
      </c>
      <c r="N49" s="239">
        <f>SUM(N37:N48)</f>
        <v>133</v>
      </c>
      <c r="O49" s="242">
        <f>SUM(O37:O48)</f>
        <v>133</v>
      </c>
      <c r="P49" s="241">
        <f>ROUND(100*O49/N49,1)</f>
        <v>100</v>
      </c>
    </row>
    <row r="50" spans="1:16" ht="14.25">
      <c r="A50" s="89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56"/>
      <c r="N50" s="56"/>
      <c r="O50" s="57"/>
      <c r="P50" s="91"/>
    </row>
    <row r="51" spans="1:16" ht="15.75">
      <c r="A51" s="89" t="s">
        <v>1357</v>
      </c>
      <c r="B51" s="48" t="s">
        <v>1358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239">
        <f>SUM(M35,M49)</f>
        <v>37818</v>
      </c>
      <c r="N51" s="239">
        <f>SUM(N49,N35)</f>
        <v>164615</v>
      </c>
      <c r="O51" s="240">
        <f>SUM(O35,O49)</f>
        <v>163965</v>
      </c>
      <c r="P51" s="241">
        <f>ROUND(100*O51/N51,1)</f>
        <v>99.6</v>
      </c>
    </row>
    <row r="52" spans="1:16" ht="14.25">
      <c r="A52" s="89" t="s">
        <v>1359</v>
      </c>
      <c r="B52" s="48" t="s">
        <v>1360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56"/>
      <c r="N52" s="56"/>
      <c r="O52" s="57"/>
      <c r="P52" s="91"/>
    </row>
    <row r="53" spans="1:16" ht="14.25">
      <c r="A53" s="89" t="s">
        <v>1361</v>
      </c>
      <c r="B53" s="48" t="s">
        <v>1362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56"/>
      <c r="N53" s="56"/>
      <c r="O53" s="57"/>
      <c r="P53" s="91"/>
    </row>
    <row r="54" spans="1:16" ht="14.25">
      <c r="A54" s="89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56"/>
      <c r="N54" s="56"/>
      <c r="O54" s="57"/>
      <c r="P54" s="91"/>
    </row>
    <row r="55" spans="1:16" ht="15.75">
      <c r="A55" s="104" t="s">
        <v>1363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243">
        <f>SUM(M51,M52,M53)</f>
        <v>37818</v>
      </c>
      <c r="N55" s="243">
        <f>SUM(N51,N52,N53)</f>
        <v>164615</v>
      </c>
      <c r="O55" s="107">
        <f>SUM(O51,O52,O53)</f>
        <v>163965</v>
      </c>
      <c r="P55" s="108">
        <f>ROUND(100*O55/N55,1)</f>
        <v>99.6</v>
      </c>
    </row>
  </sheetData>
  <mergeCells count="4">
    <mergeCell ref="O1:P1"/>
    <mergeCell ref="A4:P4"/>
    <mergeCell ref="O7:P7"/>
    <mergeCell ref="A8:L8"/>
  </mergeCells>
  <printOptions horizontalCentered="1"/>
  <pageMargins left="0.7875" right="0.7875" top="0.7875" bottom="0.7875" header="0.5118055555555556" footer="0.5118055555555556"/>
  <pageSetup cellComments="atEnd" fitToHeight="1" fitToWidth="1" horizontalDpi="300" verticalDpi="3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A1">
      <selection activeCell="K34" sqref="K34"/>
    </sheetView>
  </sheetViews>
  <sheetFormatPr defaultColWidth="9.140625" defaultRowHeight="12.75"/>
  <cols>
    <col min="1" max="4" width="2.57421875" style="1" customWidth="1"/>
    <col min="5" max="5" width="3.57421875" style="1" customWidth="1"/>
    <col min="6" max="8" width="8.7109375" style="1" customWidth="1"/>
    <col min="9" max="9" width="11.421875" style="1" customWidth="1"/>
    <col min="10" max="13" width="11.28125" style="1" customWidth="1"/>
    <col min="14" max="16384" width="9.140625" style="1" customWidth="1"/>
  </cols>
  <sheetData>
    <row r="1" spans="1:13" ht="14.25">
      <c r="A1" s="2"/>
      <c r="B1" s="2"/>
      <c r="C1" s="2"/>
      <c r="D1" s="2"/>
      <c r="E1" s="2"/>
      <c r="F1" s="2"/>
      <c r="G1" s="2"/>
      <c r="H1" s="75"/>
      <c r="I1" s="2"/>
      <c r="L1" s="1052" t="s">
        <v>1364</v>
      </c>
      <c r="M1" s="1052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3" ht="15">
      <c r="A3" s="1053" t="s">
        <v>1365</v>
      </c>
      <c r="B3" s="1053"/>
      <c r="C3" s="1053"/>
      <c r="D3" s="1053"/>
      <c r="E3" s="1053"/>
      <c r="F3" s="1053"/>
      <c r="G3" s="1053"/>
      <c r="H3" s="1053"/>
      <c r="I3" s="1053"/>
      <c r="J3" s="1053"/>
      <c r="K3" s="1053"/>
      <c r="L3" s="1053"/>
      <c r="M3" s="1053"/>
    </row>
    <row r="4" spans="1:13" ht="15">
      <c r="A4" s="1053" t="s">
        <v>1366</v>
      </c>
      <c r="B4" s="1053"/>
      <c r="C4" s="1053"/>
      <c r="D4" s="1053"/>
      <c r="E4" s="1053"/>
      <c r="F4" s="1053"/>
      <c r="G4" s="1053"/>
      <c r="H4" s="1053"/>
      <c r="I4" s="1053"/>
      <c r="J4" s="1053"/>
      <c r="K4" s="1053"/>
      <c r="L4" s="1053"/>
      <c r="M4" s="1053"/>
    </row>
    <row r="5" spans="1:13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1" ht="14.25">
      <c r="A6" s="2"/>
      <c r="B6" s="2"/>
      <c r="C6" s="2"/>
      <c r="D6" s="2"/>
      <c r="E6" s="2"/>
      <c r="F6" s="2"/>
      <c r="G6" s="2"/>
      <c r="H6" s="2"/>
      <c r="I6" s="2"/>
      <c r="J6" s="75"/>
      <c r="K6" s="75"/>
    </row>
    <row r="7" spans="1:13" ht="14.25">
      <c r="A7" s="2"/>
      <c r="B7" s="2"/>
      <c r="C7" s="2"/>
      <c r="D7" s="2"/>
      <c r="E7" s="2"/>
      <c r="F7" s="2"/>
      <c r="G7" s="2"/>
      <c r="H7" s="3"/>
      <c r="I7" s="2"/>
      <c r="M7" s="4" t="s">
        <v>1082</v>
      </c>
    </row>
    <row r="8" spans="1:13" ht="14.25">
      <c r="A8" s="1054" t="s">
        <v>960</v>
      </c>
      <c r="B8" s="1054"/>
      <c r="C8" s="1054"/>
      <c r="D8" s="1054"/>
      <c r="E8" s="1054"/>
      <c r="F8" s="1054"/>
      <c r="G8" s="1054"/>
      <c r="H8" s="1054"/>
      <c r="I8" s="1054"/>
      <c r="J8" s="10" t="s">
        <v>961</v>
      </c>
      <c r="K8" s="10" t="s">
        <v>962</v>
      </c>
      <c r="L8" s="10" t="s">
        <v>963</v>
      </c>
      <c r="M8" s="10" t="s">
        <v>964</v>
      </c>
    </row>
    <row r="9" spans="1:13" ht="15">
      <c r="A9" s="230" t="s">
        <v>1083</v>
      </c>
      <c r="B9" s="231"/>
      <c r="C9" s="231"/>
      <c r="D9" s="231"/>
      <c r="E9" s="231"/>
      <c r="F9" s="231" t="s">
        <v>1213</v>
      </c>
      <c r="G9" s="231"/>
      <c r="H9" s="231"/>
      <c r="I9" s="231"/>
      <c r="J9" s="232" t="s">
        <v>1084</v>
      </c>
      <c r="K9" s="232" t="s">
        <v>978</v>
      </c>
      <c r="L9" s="114" t="s">
        <v>979</v>
      </c>
      <c r="M9" s="199" t="s">
        <v>979</v>
      </c>
    </row>
    <row r="10" spans="1:13" ht="14.25">
      <c r="A10" s="89"/>
      <c r="B10" s="48"/>
      <c r="C10" s="48"/>
      <c r="D10" s="48"/>
      <c r="E10" s="48"/>
      <c r="F10" s="48"/>
      <c r="G10" s="48"/>
      <c r="H10" s="48"/>
      <c r="I10" s="48"/>
      <c r="J10" s="233" t="s">
        <v>983</v>
      </c>
      <c r="K10" s="233" t="s">
        <v>983</v>
      </c>
      <c r="L10" s="81"/>
      <c r="M10" s="203" t="s">
        <v>984</v>
      </c>
    </row>
    <row r="11" spans="1:13" ht="14.25">
      <c r="A11" s="234"/>
      <c r="B11" s="235"/>
      <c r="C11" s="235"/>
      <c r="D11" s="235"/>
      <c r="E11" s="235"/>
      <c r="F11" s="235"/>
      <c r="G11" s="235"/>
      <c r="H11" s="235"/>
      <c r="I11" s="235"/>
      <c r="J11" s="236"/>
      <c r="K11" s="236"/>
      <c r="L11" s="174"/>
      <c r="M11" s="175"/>
    </row>
    <row r="12" spans="1:14" ht="14.25">
      <c r="A12" s="89"/>
      <c r="B12" s="48"/>
      <c r="C12" s="48"/>
      <c r="D12" s="48"/>
      <c r="E12" s="48"/>
      <c r="F12" s="48"/>
      <c r="G12" s="48"/>
      <c r="H12" s="48"/>
      <c r="I12" s="48"/>
      <c r="J12" s="244"/>
      <c r="K12" s="244"/>
      <c r="L12" s="245"/>
      <c r="M12" s="246"/>
      <c r="N12" s="55"/>
    </row>
    <row r="13" spans="1:14" ht="14.25">
      <c r="A13" s="247" t="s">
        <v>987</v>
      </c>
      <c r="B13" s="248" t="s">
        <v>1367</v>
      </c>
      <c r="C13" s="48"/>
      <c r="D13" s="48"/>
      <c r="E13" s="48"/>
      <c r="F13" s="48"/>
      <c r="G13" s="48"/>
      <c r="H13" s="48"/>
      <c r="I13" s="48"/>
      <c r="J13" s="249">
        <f>SUM(J14:J18)</f>
        <v>6775</v>
      </c>
      <c r="K13" s="249">
        <f>SUM(K14:K18)</f>
        <v>7610</v>
      </c>
      <c r="L13" s="250">
        <f>SUM(L14:L18)</f>
        <v>7610</v>
      </c>
      <c r="M13" s="251">
        <f aca="true" t="shared" si="0" ref="M13:M23">ROUND(100*L13/K13,1)</f>
        <v>100</v>
      </c>
      <c r="N13" s="55"/>
    </row>
    <row r="14" spans="1:14" ht="14.25">
      <c r="A14" s="1067" t="s">
        <v>990</v>
      </c>
      <c r="B14" s="1067"/>
      <c r="C14" s="48" t="s">
        <v>1368</v>
      </c>
      <c r="D14" s="48"/>
      <c r="E14" s="48"/>
      <c r="F14" s="48"/>
      <c r="G14" s="48"/>
      <c r="H14" s="48"/>
      <c r="I14" s="48"/>
      <c r="J14" s="56">
        <v>1870</v>
      </c>
      <c r="K14" s="56">
        <v>1870</v>
      </c>
      <c r="L14" s="53">
        <f>(1248+310+312)</f>
        <v>1870</v>
      </c>
      <c r="M14" s="92">
        <f t="shared" si="0"/>
        <v>100</v>
      </c>
      <c r="N14" s="55"/>
    </row>
    <row r="15" spans="1:14" ht="14.25">
      <c r="A15" s="1067" t="s">
        <v>993</v>
      </c>
      <c r="B15" s="1067"/>
      <c r="C15" s="48" t="s">
        <v>1369</v>
      </c>
      <c r="D15" s="48"/>
      <c r="E15" s="48"/>
      <c r="F15" s="48"/>
      <c r="G15" s="48"/>
      <c r="H15" s="48"/>
      <c r="I15" s="48"/>
      <c r="J15" s="56">
        <v>1270</v>
      </c>
      <c r="K15" s="56">
        <v>1520</v>
      </c>
      <c r="L15" s="53">
        <f>(250+150+370+200+100+200+250)</f>
        <v>1520</v>
      </c>
      <c r="M15" s="92">
        <f t="shared" si="0"/>
        <v>100</v>
      </c>
      <c r="N15" s="55"/>
    </row>
    <row r="16" spans="1:14" ht="14.25">
      <c r="A16" s="1067" t="s">
        <v>996</v>
      </c>
      <c r="B16" s="1067"/>
      <c r="C16" s="48" t="s">
        <v>1370</v>
      </c>
      <c r="D16" s="48"/>
      <c r="E16" s="48"/>
      <c r="F16" s="48"/>
      <c r="G16" s="48"/>
      <c r="H16" s="48"/>
      <c r="I16" s="48"/>
      <c r="J16" s="56">
        <v>735</v>
      </c>
      <c r="K16" s="56">
        <v>970</v>
      </c>
      <c r="L16" s="53">
        <f>(235+285+100+150+200)</f>
        <v>970</v>
      </c>
      <c r="M16" s="92">
        <f t="shared" si="0"/>
        <v>100</v>
      </c>
      <c r="N16" s="55"/>
    </row>
    <row r="17" spans="1:14" ht="14.25">
      <c r="A17" s="1067" t="s">
        <v>999</v>
      </c>
      <c r="B17" s="1067"/>
      <c r="C17" s="48" t="s">
        <v>1371</v>
      </c>
      <c r="D17" s="48"/>
      <c r="E17" s="48"/>
      <c r="F17" s="48"/>
      <c r="G17" s="48"/>
      <c r="H17" s="48"/>
      <c r="I17" s="48"/>
      <c r="J17" s="56">
        <v>2800</v>
      </c>
      <c r="K17" s="56">
        <v>3100</v>
      </c>
      <c r="L17" s="53">
        <f>(1300+500+300+500+500)</f>
        <v>3100</v>
      </c>
      <c r="M17" s="92">
        <f t="shared" si="0"/>
        <v>100</v>
      </c>
      <c r="N17" s="55"/>
    </row>
    <row r="18" spans="1:14" ht="14.25">
      <c r="A18" s="1067" t="s">
        <v>1003</v>
      </c>
      <c r="B18" s="1067"/>
      <c r="C18" s="48" t="s">
        <v>1372</v>
      </c>
      <c r="D18" s="48"/>
      <c r="E18" s="48"/>
      <c r="F18" s="48"/>
      <c r="G18" s="48"/>
      <c r="H18" s="48"/>
      <c r="I18" s="48"/>
      <c r="J18" s="56">
        <v>100</v>
      </c>
      <c r="K18" s="56">
        <v>150</v>
      </c>
      <c r="L18" s="53">
        <f>(50+100)</f>
        <v>150</v>
      </c>
      <c r="M18" s="92">
        <f t="shared" si="0"/>
        <v>100</v>
      </c>
      <c r="N18" s="55"/>
    </row>
    <row r="19" spans="1:14" ht="14.25">
      <c r="A19" s="89" t="s">
        <v>1030</v>
      </c>
      <c r="B19" s="48" t="s">
        <v>1373</v>
      </c>
      <c r="C19" s="48"/>
      <c r="D19" s="48"/>
      <c r="E19" s="48"/>
      <c r="F19" s="48"/>
      <c r="G19" s="48"/>
      <c r="H19" s="48"/>
      <c r="I19" s="48"/>
      <c r="J19" s="56">
        <v>600</v>
      </c>
      <c r="K19" s="56">
        <v>600</v>
      </c>
      <c r="L19" s="53">
        <f>(50+25+50+25+50+25+50+25+50+100+50+100)</f>
        <v>600</v>
      </c>
      <c r="M19" s="92">
        <f t="shared" si="0"/>
        <v>100</v>
      </c>
      <c r="N19" s="55"/>
    </row>
    <row r="20" spans="1:14" ht="14.25">
      <c r="A20" s="89" t="s">
        <v>1074</v>
      </c>
      <c r="B20" s="48" t="s">
        <v>1374</v>
      </c>
      <c r="C20" s="48"/>
      <c r="D20" s="48"/>
      <c r="E20" s="48"/>
      <c r="F20" s="48"/>
      <c r="G20" s="48"/>
      <c r="H20" s="48"/>
      <c r="I20" s="48"/>
      <c r="J20" s="56">
        <v>300</v>
      </c>
      <c r="K20" s="56">
        <v>400</v>
      </c>
      <c r="L20" s="53">
        <f>(100+300)</f>
        <v>400</v>
      </c>
      <c r="M20" s="92">
        <f t="shared" si="0"/>
        <v>100</v>
      </c>
      <c r="N20" s="55"/>
    </row>
    <row r="21" spans="1:14" ht="14.25">
      <c r="A21" s="89" t="s">
        <v>1168</v>
      </c>
      <c r="B21" s="48" t="s">
        <v>1375</v>
      </c>
      <c r="C21" s="48"/>
      <c r="D21" s="48"/>
      <c r="E21" s="48"/>
      <c r="F21" s="48"/>
      <c r="G21" s="48"/>
      <c r="H21" s="48"/>
      <c r="I21" s="48"/>
      <c r="J21" s="56"/>
      <c r="K21" s="56">
        <v>100</v>
      </c>
      <c r="L21" s="53">
        <v>100</v>
      </c>
      <c r="M21" s="92">
        <f t="shared" si="0"/>
        <v>100</v>
      </c>
      <c r="N21" s="253"/>
    </row>
    <row r="22" spans="1:14" ht="14.25">
      <c r="A22" s="89" t="s">
        <v>1169</v>
      </c>
      <c r="B22" s="48" t="s">
        <v>1376</v>
      </c>
      <c r="C22" s="48"/>
      <c r="D22" s="48"/>
      <c r="E22" s="48"/>
      <c r="F22" s="48"/>
      <c r="G22" s="48"/>
      <c r="H22" s="48"/>
      <c r="I22" s="48"/>
      <c r="J22" s="56"/>
      <c r="K22" s="56">
        <v>450</v>
      </c>
      <c r="L22" s="53">
        <f>(100+350)</f>
        <v>450</v>
      </c>
      <c r="M22" s="92">
        <f t="shared" si="0"/>
        <v>100</v>
      </c>
      <c r="N22" s="55"/>
    </row>
    <row r="23" spans="1:14" ht="14.25">
      <c r="A23" s="89" t="s">
        <v>1175</v>
      </c>
      <c r="B23" s="48" t="s">
        <v>1377</v>
      </c>
      <c r="C23" s="48"/>
      <c r="D23" s="48"/>
      <c r="E23" s="48"/>
      <c r="F23" s="48"/>
      <c r="G23" s="48"/>
      <c r="H23" s="48"/>
      <c r="I23" s="48"/>
      <c r="J23" s="56"/>
      <c r="K23" s="56">
        <v>-21</v>
      </c>
      <c r="L23" s="53">
        <v>-21</v>
      </c>
      <c r="M23" s="92">
        <f t="shared" si="0"/>
        <v>100</v>
      </c>
      <c r="N23" s="55"/>
    </row>
    <row r="24" spans="1:14" ht="14.25">
      <c r="A24" s="89"/>
      <c r="B24" s="48" t="s">
        <v>1378</v>
      </c>
      <c r="C24" s="48"/>
      <c r="D24" s="48"/>
      <c r="E24" s="48"/>
      <c r="F24" s="48"/>
      <c r="G24" s="48"/>
      <c r="H24" s="48"/>
      <c r="I24" s="48"/>
      <c r="J24" s="56"/>
      <c r="K24" s="56"/>
      <c r="L24" s="53"/>
      <c r="M24" s="92"/>
      <c r="N24" s="55"/>
    </row>
    <row r="25" spans="1:15" ht="14.25">
      <c r="A25" s="89" t="s">
        <v>1172</v>
      </c>
      <c r="B25" s="48" t="s">
        <v>1379</v>
      </c>
      <c r="C25" s="48"/>
      <c r="D25" s="48"/>
      <c r="E25" s="48"/>
      <c r="F25" s="48"/>
      <c r="G25" s="48"/>
      <c r="H25" s="48"/>
      <c r="I25" s="48"/>
      <c r="J25" s="56"/>
      <c r="K25" s="56">
        <v>3000</v>
      </c>
      <c r="L25" s="53">
        <v>3000</v>
      </c>
      <c r="M25" s="92">
        <f>ROUND(100*L25/K25,1)</f>
        <v>100</v>
      </c>
      <c r="N25" s="55"/>
      <c r="O25" s="55"/>
    </row>
    <row r="26" spans="1:14" ht="14.25">
      <c r="A26" s="89"/>
      <c r="B26" s="48" t="s">
        <v>1277</v>
      </c>
      <c r="C26" s="48"/>
      <c r="D26" s="48"/>
      <c r="E26" s="48"/>
      <c r="F26" s="48"/>
      <c r="G26" s="48"/>
      <c r="H26" s="48"/>
      <c r="I26" s="48"/>
      <c r="J26" s="56"/>
      <c r="K26" s="56"/>
      <c r="L26" s="254"/>
      <c r="M26" s="92"/>
      <c r="N26" s="55"/>
    </row>
    <row r="27" spans="1:14" ht="19.5" customHeight="1">
      <c r="A27" s="255" t="s">
        <v>1380</v>
      </c>
      <c r="B27" s="105"/>
      <c r="C27" s="105"/>
      <c r="D27" s="105"/>
      <c r="E27" s="105"/>
      <c r="F27" s="105"/>
      <c r="G27" s="105"/>
      <c r="H27" s="105"/>
      <c r="I27" s="105"/>
      <c r="J27" s="243">
        <f>SUM(J13,J19,J20,J21,J22,J23,J25)</f>
        <v>7675</v>
      </c>
      <c r="K27" s="256">
        <f>SUM(K13,K19,K20,K21,K22,K23,K25)</f>
        <v>12139</v>
      </c>
      <c r="L27" s="257">
        <f>SUM(L13,L19,L20,L21,L22,L23,L25)</f>
        <v>12139</v>
      </c>
      <c r="M27" s="108">
        <f>ROUND(100*L27/K27,1)</f>
        <v>100</v>
      </c>
      <c r="N27" s="55"/>
    </row>
    <row r="28" spans="10:14" ht="12.75">
      <c r="J28" s="55"/>
      <c r="K28" s="55"/>
      <c r="L28" s="55"/>
      <c r="M28" s="55"/>
      <c r="N28" s="55"/>
    </row>
  </sheetData>
  <mergeCells count="9">
    <mergeCell ref="L1:M1"/>
    <mergeCell ref="A3:M3"/>
    <mergeCell ref="A4:M4"/>
    <mergeCell ref="A8:I8"/>
    <mergeCell ref="A18:B18"/>
    <mergeCell ref="A14:B14"/>
    <mergeCell ref="A15:B15"/>
    <mergeCell ref="A16:B16"/>
    <mergeCell ref="A17:B17"/>
  </mergeCells>
  <printOptions horizontalCentered="1"/>
  <pageMargins left="0.7875" right="0.7875" top="0.7875" bottom="0.7875" header="0.5118055555555556" footer="0.5118055555555556"/>
  <pageSetup cellComments="atEnd" fitToHeight="1" fitToWidth="1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selection activeCell="H32" sqref="H32"/>
    </sheetView>
  </sheetViews>
  <sheetFormatPr defaultColWidth="9.140625" defaultRowHeight="12.75"/>
  <cols>
    <col min="1" max="1" width="4.421875" style="1" customWidth="1"/>
    <col min="2" max="4" width="9.140625" style="1" customWidth="1"/>
    <col min="5" max="5" width="17.7109375" style="1" customWidth="1"/>
    <col min="6" max="6" width="0" style="1" hidden="1" customWidth="1"/>
    <col min="7" max="7" width="10.7109375" style="1" customWidth="1"/>
    <col min="8" max="8" width="11.28125" style="1" customWidth="1"/>
    <col min="9" max="10" width="10.7109375" style="1" customWidth="1"/>
    <col min="11" max="16384" width="9.140625" style="1" customWidth="1"/>
  </cols>
  <sheetData>
    <row r="1" spans="1:10" ht="15" customHeight="1">
      <c r="A1" s="2"/>
      <c r="B1" s="2"/>
      <c r="C1" s="2"/>
      <c r="D1" s="2"/>
      <c r="E1" s="2"/>
      <c r="F1" s="2"/>
      <c r="I1" s="1052" t="s">
        <v>1381</v>
      </c>
      <c r="J1" s="1052"/>
    </row>
    <row r="2" spans="1:8" ht="14.25">
      <c r="A2" s="2"/>
      <c r="B2" s="2"/>
      <c r="C2" s="2"/>
      <c r="D2" s="2"/>
      <c r="E2" s="2"/>
      <c r="F2" s="2"/>
      <c r="G2" s="3"/>
      <c r="H2" s="3"/>
    </row>
    <row r="3" spans="1:10" ht="15" customHeight="1">
      <c r="A3" s="1053" t="s">
        <v>1365</v>
      </c>
      <c r="B3" s="1053"/>
      <c r="C3" s="1053"/>
      <c r="D3" s="1053"/>
      <c r="E3" s="1053"/>
      <c r="F3" s="1053"/>
      <c r="G3" s="1053"/>
      <c r="H3" s="1053"/>
      <c r="I3" s="1053"/>
      <c r="J3" s="1053"/>
    </row>
    <row r="4" spans="1:10" ht="15">
      <c r="A4" s="1053" t="s">
        <v>1382</v>
      </c>
      <c r="B4" s="1053"/>
      <c r="C4" s="1053"/>
      <c r="D4" s="1053"/>
      <c r="E4" s="1053"/>
      <c r="F4" s="1053"/>
      <c r="G4" s="1053"/>
      <c r="H4" s="1053"/>
      <c r="I4" s="1053"/>
      <c r="J4" s="1053"/>
    </row>
    <row r="5" spans="1:10" ht="15">
      <c r="A5" s="5"/>
      <c r="B5" s="5"/>
      <c r="C5" s="5"/>
      <c r="D5" s="5"/>
      <c r="E5" s="5"/>
      <c r="F5" s="5"/>
      <c r="G5" s="5"/>
      <c r="H5" s="5"/>
      <c r="I5" s="5"/>
      <c r="J5" s="5"/>
    </row>
    <row r="6" spans="1:8" ht="15">
      <c r="A6" s="5"/>
      <c r="B6" s="5"/>
      <c r="C6" s="5"/>
      <c r="D6" s="5"/>
      <c r="E6" s="5"/>
      <c r="F6" s="5"/>
      <c r="G6" s="5"/>
      <c r="H6" s="5"/>
    </row>
    <row r="7" spans="1:10" ht="14.25">
      <c r="A7" s="2"/>
      <c r="B7" s="2"/>
      <c r="C7" s="2"/>
      <c r="D7" s="2"/>
      <c r="E7" s="2"/>
      <c r="F7" s="2"/>
      <c r="G7" s="75"/>
      <c r="H7" s="75"/>
      <c r="J7" s="4" t="s">
        <v>1305</v>
      </c>
    </row>
    <row r="8" spans="1:10" ht="14.25">
      <c r="A8" s="1054" t="s">
        <v>960</v>
      </c>
      <c r="B8" s="1054"/>
      <c r="C8" s="1054"/>
      <c r="D8" s="1054"/>
      <c r="E8" s="1054"/>
      <c r="F8" s="8"/>
      <c r="G8" s="10" t="s">
        <v>961</v>
      </c>
      <c r="H8" s="10" t="s">
        <v>962</v>
      </c>
      <c r="I8" s="10" t="s">
        <v>963</v>
      </c>
      <c r="J8" s="10" t="s">
        <v>964</v>
      </c>
    </row>
    <row r="9" spans="1:10" ht="15">
      <c r="A9" s="230" t="s">
        <v>1083</v>
      </c>
      <c r="B9" s="231"/>
      <c r="C9" s="231"/>
      <c r="D9" s="231"/>
      <c r="E9" s="231"/>
      <c r="F9" s="231"/>
      <c r="G9" s="232" t="s">
        <v>1084</v>
      </c>
      <c r="H9" s="232" t="s">
        <v>978</v>
      </c>
      <c r="I9" s="114" t="s">
        <v>979</v>
      </c>
      <c r="J9" s="199" t="s">
        <v>979</v>
      </c>
    </row>
    <row r="10" spans="1:10" ht="14.25">
      <c r="A10" s="89"/>
      <c r="B10" s="48"/>
      <c r="C10" s="48"/>
      <c r="D10" s="48"/>
      <c r="E10" s="48"/>
      <c r="F10" s="48"/>
      <c r="G10" s="233" t="s">
        <v>983</v>
      </c>
      <c r="H10" s="233" t="s">
        <v>983</v>
      </c>
      <c r="I10" s="125"/>
      <c r="J10" s="203" t="s">
        <v>984</v>
      </c>
    </row>
    <row r="11" spans="1:10" ht="14.25">
      <c r="A11" s="89"/>
      <c r="B11" s="48"/>
      <c r="C11" s="48"/>
      <c r="D11" s="48"/>
      <c r="E11" s="48"/>
      <c r="F11" s="48"/>
      <c r="G11" s="233"/>
      <c r="H11" s="233"/>
      <c r="I11" s="83"/>
      <c r="J11" s="203"/>
    </row>
    <row r="12" spans="1:11" ht="14.25">
      <c r="A12" s="258"/>
      <c r="B12" s="231"/>
      <c r="C12" s="231"/>
      <c r="D12" s="231"/>
      <c r="E12" s="259"/>
      <c r="F12" s="259"/>
      <c r="G12" s="260"/>
      <c r="H12" s="260"/>
      <c r="I12" s="261"/>
      <c r="J12" s="262"/>
      <c r="K12" s="55"/>
    </row>
    <row r="13" spans="1:11" ht="14.25">
      <c r="A13" s="89"/>
      <c r="B13" s="48"/>
      <c r="C13" s="48"/>
      <c r="D13" s="48"/>
      <c r="E13" s="136"/>
      <c r="F13" s="136"/>
      <c r="G13" s="56"/>
      <c r="H13" s="56"/>
      <c r="I13" s="53"/>
      <c r="J13" s="34"/>
      <c r="K13" s="55"/>
    </row>
    <row r="14" spans="1:11" ht="14.25">
      <c r="A14" s="89" t="s">
        <v>987</v>
      </c>
      <c r="B14" s="48" t="s">
        <v>1383</v>
      </c>
      <c r="C14" s="48"/>
      <c r="D14" s="48"/>
      <c r="E14" s="136"/>
      <c r="F14" s="136"/>
      <c r="G14" s="56">
        <v>24000</v>
      </c>
      <c r="H14" s="56">
        <v>24000</v>
      </c>
      <c r="I14" s="53">
        <v>24000</v>
      </c>
      <c r="J14" s="54">
        <f>ROUND(100*I14/H14,1)</f>
        <v>100</v>
      </c>
      <c r="K14" s="55"/>
    </row>
    <row r="15" spans="1:11" ht="14.25">
      <c r="A15" s="89" t="s">
        <v>1030</v>
      </c>
      <c r="B15" s="48" t="s">
        <v>1384</v>
      </c>
      <c r="C15" s="48"/>
      <c r="D15" s="48"/>
      <c r="E15" s="136"/>
      <c r="F15" s="136"/>
      <c r="G15" s="56">
        <v>10393</v>
      </c>
      <c r="H15" s="56">
        <v>12991</v>
      </c>
      <c r="I15" s="53">
        <v>12991</v>
      </c>
      <c r="J15" s="54">
        <f>ROUND(100*I15/H15,1)</f>
        <v>100</v>
      </c>
      <c r="K15" s="55"/>
    </row>
    <row r="16" spans="1:11" ht="14.25">
      <c r="A16" s="89" t="s">
        <v>1074</v>
      </c>
      <c r="B16" s="48" t="s">
        <v>1385</v>
      </c>
      <c r="C16" s="48"/>
      <c r="D16" s="48"/>
      <c r="E16" s="136"/>
      <c r="F16" s="136"/>
      <c r="G16" s="56">
        <v>474</v>
      </c>
      <c r="H16" s="56">
        <v>711</v>
      </c>
      <c r="I16" s="53">
        <v>711</v>
      </c>
      <c r="J16" s="54">
        <f>ROUND(100*I16/H16,1)</f>
        <v>100</v>
      </c>
      <c r="K16" s="55"/>
    </row>
    <row r="17" spans="1:11" ht="14.25">
      <c r="A17" s="89" t="s">
        <v>1168</v>
      </c>
      <c r="B17" s="48" t="s">
        <v>1386</v>
      </c>
      <c r="C17" s="48"/>
      <c r="D17" s="48"/>
      <c r="E17" s="136"/>
      <c r="F17" s="136"/>
      <c r="G17" s="56">
        <v>2000</v>
      </c>
      <c r="H17" s="56">
        <v>2000</v>
      </c>
      <c r="I17" s="53">
        <f>(100+30+20+40+10+100+25+35+25+30+30+20+30+30+40+20+80+40+20+40+50+50)+(230+500+30+50+30)+(226)</f>
        <v>1931</v>
      </c>
      <c r="J17" s="54">
        <f>ROUND(100*I17/H17,1)</f>
        <v>96.6</v>
      </c>
      <c r="K17" s="55"/>
    </row>
    <row r="18" spans="1:11" ht="14.25">
      <c r="A18" s="89"/>
      <c r="B18" s="48" t="s">
        <v>1387</v>
      </c>
      <c r="C18" s="48"/>
      <c r="D18" s="48"/>
      <c r="E18" s="136"/>
      <c r="F18" s="136"/>
      <c r="G18" s="56"/>
      <c r="H18" s="56"/>
      <c r="I18" s="53"/>
      <c r="J18" s="54"/>
      <c r="K18" s="55"/>
    </row>
    <row r="19" spans="1:11" ht="14.25">
      <c r="A19" s="89" t="s">
        <v>1169</v>
      </c>
      <c r="B19" s="48" t="s">
        <v>1388</v>
      </c>
      <c r="C19" s="48"/>
      <c r="D19" s="48"/>
      <c r="E19" s="136"/>
      <c r="F19" s="136"/>
      <c r="G19" s="56"/>
      <c r="H19" s="56">
        <v>400</v>
      </c>
      <c r="I19" s="53">
        <v>400</v>
      </c>
      <c r="J19" s="54">
        <f aca="true" t="shared" si="0" ref="J19:J27">ROUND(100*I19/H19,1)</f>
        <v>100</v>
      </c>
      <c r="K19" s="55"/>
    </row>
    <row r="20" spans="1:11" ht="14.25">
      <c r="A20" s="89" t="s">
        <v>1175</v>
      </c>
      <c r="B20" s="48" t="s">
        <v>1389</v>
      </c>
      <c r="C20" s="48"/>
      <c r="D20" s="48"/>
      <c r="E20" s="136"/>
      <c r="F20" s="136"/>
      <c r="G20" s="56"/>
      <c r="H20" s="56">
        <v>1606</v>
      </c>
      <c r="I20" s="53">
        <f>1454+152</f>
        <v>1606</v>
      </c>
      <c r="J20" s="54">
        <f t="shared" si="0"/>
        <v>100</v>
      </c>
      <c r="K20" s="55"/>
    </row>
    <row r="21" spans="1:11" ht="14.25">
      <c r="A21" s="89" t="s">
        <v>1172</v>
      </c>
      <c r="B21" s="48" t="s">
        <v>1390</v>
      </c>
      <c r="C21" s="48"/>
      <c r="D21" s="48"/>
      <c r="E21" s="136"/>
      <c r="F21" s="136"/>
      <c r="G21" s="56"/>
      <c r="H21" s="56">
        <v>1496</v>
      </c>
      <c r="I21" s="53">
        <v>1496</v>
      </c>
      <c r="J21" s="54">
        <f t="shared" si="0"/>
        <v>100</v>
      </c>
      <c r="K21" s="55"/>
    </row>
    <row r="22" spans="1:11" ht="14.25">
      <c r="A22" s="89" t="s">
        <v>1180</v>
      </c>
      <c r="B22" s="48" t="s">
        <v>1391</v>
      </c>
      <c r="C22" s="48"/>
      <c r="D22" s="48"/>
      <c r="E22" s="136"/>
      <c r="F22" s="136"/>
      <c r="G22" s="56"/>
      <c r="H22" s="56">
        <v>3330</v>
      </c>
      <c r="I22" s="53">
        <f>1223+2107</f>
        <v>3330</v>
      </c>
      <c r="J22" s="54">
        <f t="shared" si="0"/>
        <v>100</v>
      </c>
      <c r="K22" s="55"/>
    </row>
    <row r="23" spans="1:11" ht="14.25">
      <c r="A23" s="89" t="s">
        <v>1183</v>
      </c>
      <c r="B23" s="48" t="s">
        <v>1392</v>
      </c>
      <c r="C23" s="48"/>
      <c r="D23" s="48"/>
      <c r="E23" s="136"/>
      <c r="F23" s="136"/>
      <c r="G23" s="56"/>
      <c r="H23" s="56">
        <v>500</v>
      </c>
      <c r="I23" s="53">
        <v>500</v>
      </c>
      <c r="J23" s="54">
        <f t="shared" si="0"/>
        <v>100</v>
      </c>
      <c r="K23" s="55"/>
    </row>
    <row r="24" spans="1:11" ht="14.25">
      <c r="A24" s="89" t="s">
        <v>1176</v>
      </c>
      <c r="B24" s="48" t="s">
        <v>1393</v>
      </c>
      <c r="C24" s="48"/>
      <c r="D24" s="48"/>
      <c r="E24" s="136"/>
      <c r="F24" s="136"/>
      <c r="G24" s="56"/>
      <c r="H24" s="56">
        <v>147</v>
      </c>
      <c r="I24" s="53">
        <v>147</v>
      </c>
      <c r="J24" s="54">
        <f t="shared" si="0"/>
        <v>100</v>
      </c>
      <c r="K24" s="55"/>
    </row>
    <row r="25" spans="1:11" ht="14.25">
      <c r="A25" s="89" t="s">
        <v>1178</v>
      </c>
      <c r="B25" s="48" t="s">
        <v>1394</v>
      </c>
      <c r="C25" s="48"/>
      <c r="D25" s="48"/>
      <c r="E25" s="136"/>
      <c r="F25" s="136"/>
      <c r="G25" s="56"/>
      <c r="H25" s="56">
        <v>25</v>
      </c>
      <c r="I25" s="53">
        <v>25</v>
      </c>
      <c r="J25" s="54">
        <f t="shared" si="0"/>
        <v>100</v>
      </c>
      <c r="K25" s="55"/>
    </row>
    <row r="26" spans="1:11" ht="14.25" customHeight="1">
      <c r="A26" s="89" t="s">
        <v>1181</v>
      </c>
      <c r="B26" s="48" t="s">
        <v>1395</v>
      </c>
      <c r="C26" s="48"/>
      <c r="D26" s="48"/>
      <c r="E26" s="136"/>
      <c r="F26" s="136"/>
      <c r="G26" s="56"/>
      <c r="H26" s="56">
        <v>100</v>
      </c>
      <c r="I26" s="53">
        <v>100</v>
      </c>
      <c r="J26" s="54">
        <f t="shared" si="0"/>
        <v>100</v>
      </c>
      <c r="K26" s="55"/>
    </row>
    <row r="27" spans="1:11" ht="15.75">
      <c r="A27" s="255" t="s">
        <v>1396</v>
      </c>
      <c r="B27" s="105"/>
      <c r="C27" s="105"/>
      <c r="D27" s="105"/>
      <c r="E27" s="263"/>
      <c r="F27" s="263"/>
      <c r="G27" s="243">
        <f>SUM(G14:G18)</f>
        <v>36867</v>
      </c>
      <c r="H27" s="256">
        <f>SUM(H14:H26)</f>
        <v>47306</v>
      </c>
      <c r="I27" s="264">
        <f>SUM(I14:I26)</f>
        <v>47237</v>
      </c>
      <c r="J27" s="265">
        <f t="shared" si="0"/>
        <v>99.9</v>
      </c>
      <c r="K27" s="55"/>
    </row>
    <row r="28" spans="5:11" ht="12.75">
      <c r="E28" s="55"/>
      <c r="F28" s="55"/>
      <c r="G28" s="55"/>
      <c r="H28" s="55"/>
      <c r="I28" s="55"/>
      <c r="J28" s="55"/>
      <c r="K28" s="55"/>
    </row>
    <row r="29" spans="5:11" ht="12.75">
      <c r="E29" s="55"/>
      <c r="F29" s="55"/>
      <c r="G29" s="55"/>
      <c r="H29" s="55"/>
      <c r="I29" s="55"/>
      <c r="J29" s="55"/>
      <c r="K29" s="55"/>
    </row>
    <row r="30" spans="5:11" ht="12.75">
      <c r="E30" s="55"/>
      <c r="F30" s="55"/>
      <c r="G30" s="55"/>
      <c r="H30" s="55"/>
      <c r="I30" s="55"/>
      <c r="J30" s="55"/>
      <c r="K30" s="55"/>
    </row>
    <row r="31" ht="12.75">
      <c r="I31" s="101"/>
    </row>
  </sheetData>
  <mergeCells count="4">
    <mergeCell ref="I1:J1"/>
    <mergeCell ref="A3:J3"/>
    <mergeCell ref="A4:J4"/>
    <mergeCell ref="A8:E8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0"/>
  <sheetViews>
    <sheetView workbookViewId="0" topLeftCell="A57">
      <selection activeCell="B73" sqref="B73"/>
    </sheetView>
  </sheetViews>
  <sheetFormatPr defaultColWidth="9.140625" defaultRowHeight="12.75"/>
  <cols>
    <col min="1" max="1" width="26.57421875" style="1" customWidth="1"/>
    <col min="2" max="2" width="14.57421875" style="1" customWidth="1"/>
    <col min="3" max="3" width="10.7109375" style="1" customWidth="1"/>
    <col min="4" max="5" width="12.421875" style="1" customWidth="1"/>
    <col min="6" max="6" width="12.28125" style="1" customWidth="1"/>
    <col min="7" max="8" width="10.7109375" style="1" customWidth="1"/>
    <col min="9" max="9" width="9.140625" style="1" customWidth="1"/>
    <col min="10" max="10" width="9.28125" style="1" customWidth="1"/>
    <col min="11" max="11" width="9.140625" style="1" customWidth="1"/>
    <col min="12" max="12" width="9.28125" style="1" customWidth="1"/>
    <col min="13" max="16384" width="9.140625" style="1" customWidth="1"/>
  </cols>
  <sheetData>
    <row r="1" spans="1:9" ht="14.25">
      <c r="A1" s="136" t="s">
        <v>1397</v>
      </c>
      <c r="B1" s="136"/>
      <c r="C1" s="136"/>
      <c r="D1" s="136"/>
      <c r="E1" s="136"/>
      <c r="F1" s="136"/>
      <c r="G1" s="1069" t="s">
        <v>1398</v>
      </c>
      <c r="H1" s="1069"/>
      <c r="I1" s="55"/>
    </row>
    <row r="2" spans="1:9" ht="14.25">
      <c r="A2" s="136"/>
      <c r="B2" s="136"/>
      <c r="C2" s="136"/>
      <c r="D2" s="136"/>
      <c r="E2" s="136"/>
      <c r="F2" s="136"/>
      <c r="G2" s="136"/>
      <c r="H2" s="136"/>
      <c r="I2" s="55"/>
    </row>
    <row r="3" spans="1:9" ht="15">
      <c r="A3" s="1070" t="s">
        <v>1399</v>
      </c>
      <c r="B3" s="1070"/>
      <c r="C3" s="1070"/>
      <c r="D3" s="1070"/>
      <c r="E3" s="1070"/>
      <c r="F3" s="1070"/>
      <c r="G3" s="1070"/>
      <c r="H3" s="1070"/>
      <c r="I3" s="55"/>
    </row>
    <row r="4" spans="1:9" ht="14.25">
      <c r="A4" s="136"/>
      <c r="B4" s="136"/>
      <c r="C4" s="136"/>
      <c r="D4" s="136"/>
      <c r="E4" s="136"/>
      <c r="F4" s="136"/>
      <c r="G4" s="136"/>
      <c r="H4" s="136"/>
      <c r="I4" s="55"/>
    </row>
    <row r="5" spans="1:9" ht="14.25">
      <c r="A5" s="136"/>
      <c r="B5" s="136"/>
      <c r="C5" s="136"/>
      <c r="D5" s="136"/>
      <c r="E5" s="136"/>
      <c r="F5" s="136"/>
      <c r="G5" s="136"/>
      <c r="H5" s="136"/>
      <c r="I5" s="55"/>
    </row>
    <row r="6" spans="1:9" ht="14.25">
      <c r="A6" s="268"/>
      <c r="B6" s="268"/>
      <c r="C6" s="268"/>
      <c r="D6" s="268"/>
      <c r="E6" s="268"/>
      <c r="F6" s="268"/>
      <c r="G6" s="1069" t="s">
        <v>1305</v>
      </c>
      <c r="H6" s="1069"/>
      <c r="I6" s="55"/>
    </row>
    <row r="7" spans="1:9" ht="13.5" customHeight="1">
      <c r="A7" s="1071" t="s">
        <v>960</v>
      </c>
      <c r="B7" s="1071"/>
      <c r="C7" s="269" t="s">
        <v>961</v>
      </c>
      <c r="D7" s="269" t="s">
        <v>962</v>
      </c>
      <c r="E7" s="269" t="s">
        <v>963</v>
      </c>
      <c r="F7" s="269" t="s">
        <v>964</v>
      </c>
      <c r="G7" s="10" t="s">
        <v>965</v>
      </c>
      <c r="H7" s="10" t="s">
        <v>966</v>
      </c>
      <c r="I7" s="55"/>
    </row>
    <row r="8" spans="1:9" ht="13.5" customHeight="1">
      <c r="A8" s="270" t="s">
        <v>1083</v>
      </c>
      <c r="B8" s="259"/>
      <c r="C8" s="271" t="s">
        <v>1400</v>
      </c>
      <c r="D8" s="272" t="s">
        <v>1401</v>
      </c>
      <c r="E8" s="259"/>
      <c r="F8" s="271" t="s">
        <v>1402</v>
      </c>
      <c r="G8" s="272" t="s">
        <v>1403</v>
      </c>
      <c r="H8" s="273"/>
      <c r="I8" s="55"/>
    </row>
    <row r="9" spans="1:9" ht="13.5" customHeight="1">
      <c r="A9" s="274"/>
      <c r="B9" s="136"/>
      <c r="C9" s="275" t="s">
        <v>1397</v>
      </c>
      <c r="D9" s="276"/>
      <c r="E9" s="277"/>
      <c r="F9" s="275" t="s">
        <v>1397</v>
      </c>
      <c r="G9" s="276"/>
      <c r="H9" s="278"/>
      <c r="I9" s="55"/>
    </row>
    <row r="10" spans="1:9" ht="13.5" customHeight="1">
      <c r="A10" s="274"/>
      <c r="B10" s="136"/>
      <c r="C10" s="275" t="s">
        <v>1404</v>
      </c>
      <c r="D10" s="136" t="s">
        <v>1405</v>
      </c>
      <c r="E10" s="49" t="s">
        <v>1406</v>
      </c>
      <c r="F10" s="275" t="s">
        <v>1404</v>
      </c>
      <c r="G10" s="279" t="s">
        <v>1405</v>
      </c>
      <c r="H10" s="280" t="s">
        <v>1406</v>
      </c>
      <c r="I10" s="55"/>
    </row>
    <row r="11" spans="1:9" ht="13.5" customHeight="1">
      <c r="A11" s="274"/>
      <c r="B11" s="136"/>
      <c r="C11" s="275" t="s">
        <v>1397</v>
      </c>
      <c r="D11" s="136" t="s">
        <v>1407</v>
      </c>
      <c r="E11" s="49" t="s">
        <v>1408</v>
      </c>
      <c r="F11" s="275" t="s">
        <v>1397</v>
      </c>
      <c r="G11" s="279" t="s">
        <v>1409</v>
      </c>
      <c r="H11" s="280" t="s">
        <v>1410</v>
      </c>
      <c r="I11" s="55"/>
    </row>
    <row r="12" spans="1:9" ht="13.5" customHeight="1">
      <c r="A12" s="274"/>
      <c r="B12" s="136"/>
      <c r="C12" s="275"/>
      <c r="D12" s="281" t="s">
        <v>1397</v>
      </c>
      <c r="E12" s="279" t="s">
        <v>1407</v>
      </c>
      <c r="F12" s="275"/>
      <c r="G12" s="279" t="s">
        <v>1397</v>
      </c>
      <c r="H12" s="280" t="s">
        <v>1409</v>
      </c>
      <c r="I12" s="55"/>
    </row>
    <row r="13" spans="1:9" ht="13.5" customHeight="1">
      <c r="A13" s="276"/>
      <c r="B13" s="277"/>
      <c r="C13" s="282"/>
      <c r="D13" s="283" t="s">
        <v>1397</v>
      </c>
      <c r="E13" s="284"/>
      <c r="F13" s="282"/>
      <c r="G13" s="284"/>
      <c r="H13" s="285"/>
      <c r="I13" s="55"/>
    </row>
    <row r="14" spans="1:9" ht="13.5" customHeight="1">
      <c r="A14" s="274"/>
      <c r="B14" s="136"/>
      <c r="C14" s="275"/>
      <c r="D14" s="274"/>
      <c r="E14" s="286"/>
      <c r="F14" s="287"/>
      <c r="G14" s="136"/>
      <c r="H14" s="286"/>
      <c r="I14" s="55"/>
    </row>
    <row r="15" spans="1:9" ht="13.5" customHeight="1">
      <c r="A15" s="288" t="s">
        <v>1411</v>
      </c>
      <c r="C15" s="275"/>
      <c r="E15" s="280"/>
      <c r="F15" s="275"/>
      <c r="H15" s="280"/>
      <c r="I15" s="55"/>
    </row>
    <row r="16" spans="1:9" ht="13.5" customHeight="1">
      <c r="A16" s="252" t="s">
        <v>1086</v>
      </c>
      <c r="B16" s="48" t="s">
        <v>1084</v>
      </c>
      <c r="C16" s="275">
        <f>SUM(D16:E16)</f>
        <v>209546</v>
      </c>
      <c r="D16" s="274">
        <v>209546</v>
      </c>
      <c r="E16" s="179"/>
      <c r="F16" s="275">
        <f>SUM(G16:H16)</f>
        <v>209546</v>
      </c>
      <c r="G16" s="274">
        <v>209546</v>
      </c>
      <c r="H16" s="179"/>
      <c r="I16" s="55"/>
    </row>
    <row r="17" spans="1:9" ht="13.5" customHeight="1">
      <c r="A17" s="252" t="s">
        <v>1088</v>
      </c>
      <c r="B17" s="48" t="s">
        <v>978</v>
      </c>
      <c r="C17" s="275">
        <f>SUM(D17:E17)</f>
        <v>228390</v>
      </c>
      <c r="D17" s="274">
        <v>227440</v>
      </c>
      <c r="E17" s="280">
        <v>950</v>
      </c>
      <c r="F17" s="275">
        <f>SUM(G17:H17)</f>
        <v>228390</v>
      </c>
      <c r="G17" s="274">
        <v>227440</v>
      </c>
      <c r="H17" s="280">
        <v>950</v>
      </c>
      <c r="I17" s="55"/>
    </row>
    <row r="18" spans="1:9" ht="13.5" customHeight="1">
      <c r="A18" s="252" t="s">
        <v>1412</v>
      </c>
      <c r="B18" s="48" t="s">
        <v>979</v>
      </c>
      <c r="C18" s="275">
        <f>SUM(D18:E18)</f>
        <v>221450</v>
      </c>
      <c r="D18" s="274">
        <v>220500</v>
      </c>
      <c r="E18" s="280">
        <v>950</v>
      </c>
      <c r="F18" s="275">
        <f>SUM(G18:H18)</f>
        <v>220350</v>
      </c>
      <c r="G18" s="274">
        <v>219397</v>
      </c>
      <c r="H18" s="280">
        <v>953</v>
      </c>
      <c r="I18" s="55"/>
    </row>
    <row r="19" spans="1:9" ht="13.5" customHeight="1">
      <c r="A19" s="252" t="s">
        <v>1413</v>
      </c>
      <c r="B19" s="48" t="s">
        <v>1414</v>
      </c>
      <c r="C19" s="289">
        <f aca="true" t="shared" si="0" ref="C19:H19">ROUND(100*C18/C17,1)</f>
        <v>97</v>
      </c>
      <c r="D19" s="290">
        <f t="shared" si="0"/>
        <v>96.9</v>
      </c>
      <c r="E19" s="291">
        <f t="shared" si="0"/>
        <v>100</v>
      </c>
      <c r="F19" s="289">
        <f t="shared" si="0"/>
        <v>96.5</v>
      </c>
      <c r="G19" s="290">
        <f t="shared" si="0"/>
        <v>96.5</v>
      </c>
      <c r="H19" s="291">
        <f t="shared" si="0"/>
        <v>100.3</v>
      </c>
      <c r="I19" s="55"/>
    </row>
    <row r="20" spans="1:9" ht="13.5" customHeight="1">
      <c r="A20" s="292" t="s">
        <v>1415</v>
      </c>
      <c r="B20" s="102"/>
      <c r="C20" s="275"/>
      <c r="E20" s="280"/>
      <c r="F20" s="275"/>
      <c r="H20" s="280"/>
      <c r="I20" s="55"/>
    </row>
    <row r="21" spans="1:9" ht="13.5" customHeight="1">
      <c r="A21" s="293" t="s">
        <v>1416</v>
      </c>
      <c r="B21" s="48" t="s">
        <v>1084</v>
      </c>
      <c r="C21" s="275">
        <f>SUM(D21:E21)</f>
        <v>285043</v>
      </c>
      <c r="D21" s="274">
        <v>285043</v>
      </c>
      <c r="E21" s="179"/>
      <c r="F21" s="275">
        <f>SUM(G21:H21)</f>
        <v>285043</v>
      </c>
      <c r="G21" s="274">
        <v>285043</v>
      </c>
      <c r="H21" s="179"/>
      <c r="I21" s="55"/>
    </row>
    <row r="22" spans="1:9" ht="13.5" customHeight="1">
      <c r="A22" s="293" t="s">
        <v>1417</v>
      </c>
      <c r="B22" s="48" t="s">
        <v>978</v>
      </c>
      <c r="C22" s="275">
        <f>SUM(D22:E22)</f>
        <v>311989</v>
      </c>
      <c r="D22" s="274">
        <v>309989</v>
      </c>
      <c r="E22" s="280">
        <v>2000</v>
      </c>
      <c r="F22" s="275">
        <f>SUM(G22:H22)</f>
        <v>311989</v>
      </c>
      <c r="G22" s="274">
        <v>309989</v>
      </c>
      <c r="H22" s="280">
        <v>2000</v>
      </c>
      <c r="I22" s="55"/>
    </row>
    <row r="23" spans="1:9" ht="13.5" customHeight="1">
      <c r="A23" s="293" t="s">
        <v>1418</v>
      </c>
      <c r="B23" s="48" t="s">
        <v>979</v>
      </c>
      <c r="C23" s="294">
        <f>SUM(D23:E23)</f>
        <v>310743</v>
      </c>
      <c r="D23" s="274">
        <v>308743</v>
      </c>
      <c r="E23" s="280">
        <v>2000</v>
      </c>
      <c r="F23" s="294">
        <f>SUM(G23:H23)</f>
        <v>311743</v>
      </c>
      <c r="G23" s="274">
        <v>308844</v>
      </c>
      <c r="H23" s="280">
        <v>2899</v>
      </c>
      <c r="I23" s="55"/>
    </row>
    <row r="24" spans="1:9" ht="13.5" customHeight="1">
      <c r="A24" s="293" t="s">
        <v>1419</v>
      </c>
      <c r="B24" s="48" t="s">
        <v>1414</v>
      </c>
      <c r="C24" s="289">
        <f aca="true" t="shared" si="1" ref="C24:H24">ROUND(100*C23/C22,1)</f>
        <v>99.6</v>
      </c>
      <c r="D24" s="290">
        <f t="shared" si="1"/>
        <v>99.6</v>
      </c>
      <c r="E24" s="291">
        <f t="shared" si="1"/>
        <v>100</v>
      </c>
      <c r="F24" s="289">
        <f t="shared" si="1"/>
        <v>99.9</v>
      </c>
      <c r="G24" s="290">
        <f t="shared" si="1"/>
        <v>99.6</v>
      </c>
      <c r="H24" s="291">
        <f t="shared" si="1"/>
        <v>145</v>
      </c>
      <c r="I24" s="55"/>
    </row>
    <row r="25" spans="1:9" ht="13.5" customHeight="1">
      <c r="A25" s="292" t="s">
        <v>1420</v>
      </c>
      <c r="B25" s="102"/>
      <c r="C25" s="275"/>
      <c r="E25" s="280"/>
      <c r="F25" s="275"/>
      <c r="H25" s="280"/>
      <c r="I25" s="55"/>
    </row>
    <row r="26" spans="1:9" ht="13.5" customHeight="1">
      <c r="A26" s="293" t="s">
        <v>1092</v>
      </c>
      <c r="B26" s="48" t="s">
        <v>1084</v>
      </c>
      <c r="C26" s="275">
        <f>SUM(D26:E26)</f>
        <v>103494</v>
      </c>
      <c r="D26" s="274">
        <v>103494</v>
      </c>
      <c r="E26" s="179"/>
      <c r="F26" s="275">
        <f>SUM(G26:H26)</f>
        <v>103494</v>
      </c>
      <c r="G26" s="274">
        <v>103494</v>
      </c>
      <c r="H26" s="179"/>
      <c r="I26" s="55"/>
    </row>
    <row r="27" spans="1:9" ht="13.5" customHeight="1">
      <c r="A27" s="293" t="s">
        <v>1100</v>
      </c>
      <c r="B27" s="48" t="s">
        <v>978</v>
      </c>
      <c r="C27" s="275">
        <f>SUM(D27:E27)</f>
        <v>119216</v>
      </c>
      <c r="D27" s="274">
        <v>118546</v>
      </c>
      <c r="E27" s="280">
        <v>670</v>
      </c>
      <c r="F27" s="275">
        <f>SUM(G27:H27)</f>
        <v>119216</v>
      </c>
      <c r="G27" s="274">
        <v>118546</v>
      </c>
      <c r="H27" s="280">
        <v>670</v>
      </c>
      <c r="I27" s="55"/>
    </row>
    <row r="28" spans="1:9" ht="13.5" customHeight="1">
      <c r="A28" s="293" t="s">
        <v>1102</v>
      </c>
      <c r="B28" s="48" t="s">
        <v>979</v>
      </c>
      <c r="C28" s="275">
        <f>SUM(D28:E28)</f>
        <v>119614</v>
      </c>
      <c r="D28" s="274">
        <v>118944</v>
      </c>
      <c r="E28" s="280">
        <v>670</v>
      </c>
      <c r="F28" s="275">
        <f>SUM(G28:H28)</f>
        <v>119602</v>
      </c>
      <c r="G28" s="274">
        <v>118652</v>
      </c>
      <c r="H28" s="280">
        <v>950</v>
      </c>
      <c r="I28" s="55"/>
    </row>
    <row r="29" spans="1:9" ht="13.5" customHeight="1">
      <c r="A29" s="252" t="s">
        <v>1421</v>
      </c>
      <c r="B29" s="48" t="s">
        <v>1414</v>
      </c>
      <c r="C29" s="289">
        <f aca="true" t="shared" si="2" ref="C29:H29">ROUND(100*C28/C27,1)</f>
        <v>100.3</v>
      </c>
      <c r="D29" s="290">
        <f t="shared" si="2"/>
        <v>100.3</v>
      </c>
      <c r="E29" s="291">
        <f t="shared" si="2"/>
        <v>100</v>
      </c>
      <c r="F29" s="289">
        <f t="shared" si="2"/>
        <v>100.3</v>
      </c>
      <c r="G29" s="290">
        <f t="shared" si="2"/>
        <v>100.1</v>
      </c>
      <c r="H29" s="291">
        <f t="shared" si="2"/>
        <v>141.8</v>
      </c>
      <c r="I29" s="55"/>
    </row>
    <row r="30" spans="1:9" ht="13.5" customHeight="1">
      <c r="A30" s="292" t="s">
        <v>1422</v>
      </c>
      <c r="B30" s="102"/>
      <c r="C30" s="275"/>
      <c r="E30" s="280"/>
      <c r="F30" s="275"/>
      <c r="H30" s="280"/>
      <c r="I30" s="55"/>
    </row>
    <row r="31" spans="1:9" ht="13.5" customHeight="1">
      <c r="A31" s="293" t="s">
        <v>1423</v>
      </c>
      <c r="B31" s="48" t="s">
        <v>1084</v>
      </c>
      <c r="C31" s="275">
        <f>SUM(D31:E31)</f>
        <v>90266</v>
      </c>
      <c r="D31" s="274">
        <v>90266</v>
      </c>
      <c r="E31" s="179"/>
      <c r="F31" s="275">
        <f>SUM(G31:H31)</f>
        <v>90266</v>
      </c>
      <c r="G31" s="274">
        <v>90266</v>
      </c>
      <c r="H31" s="179"/>
      <c r="I31" s="55"/>
    </row>
    <row r="32" spans="1:9" ht="13.5" customHeight="1">
      <c r="A32" s="293" t="s">
        <v>1424</v>
      </c>
      <c r="B32" s="48" t="s">
        <v>978</v>
      </c>
      <c r="C32" s="275">
        <f>SUM(D32:E32)</f>
        <v>100926</v>
      </c>
      <c r="D32" s="274">
        <v>100426</v>
      </c>
      <c r="E32" s="280">
        <v>500</v>
      </c>
      <c r="F32" s="275">
        <f>SUM(G32:H32)</f>
        <v>100926</v>
      </c>
      <c r="G32" s="274">
        <v>100426</v>
      </c>
      <c r="H32" s="280">
        <v>500</v>
      </c>
      <c r="I32" s="55"/>
    </row>
    <row r="33" spans="1:9" ht="13.5" customHeight="1">
      <c r="A33" s="293" t="s">
        <v>1425</v>
      </c>
      <c r="B33" s="48" t="s">
        <v>979</v>
      </c>
      <c r="C33" s="294">
        <f>SUM(D33:E33)</f>
        <v>100022</v>
      </c>
      <c r="D33" s="274">
        <v>99522</v>
      </c>
      <c r="E33" s="280">
        <v>500</v>
      </c>
      <c r="F33" s="294">
        <f>SUM(G33:H33)</f>
        <v>99992</v>
      </c>
      <c r="G33" s="274">
        <v>99290</v>
      </c>
      <c r="H33" s="280">
        <v>702</v>
      </c>
      <c r="I33" s="55"/>
    </row>
    <row r="34" spans="1:9" ht="13.5" customHeight="1">
      <c r="A34" s="252" t="s">
        <v>1426</v>
      </c>
      <c r="B34" s="48" t="s">
        <v>1414</v>
      </c>
      <c r="C34" s="289">
        <f aca="true" t="shared" si="3" ref="C34:H34">ROUND(100*C33/C32,1)</f>
        <v>99.1</v>
      </c>
      <c r="D34" s="290">
        <f t="shared" si="3"/>
        <v>99.1</v>
      </c>
      <c r="E34" s="291">
        <f t="shared" si="3"/>
        <v>100</v>
      </c>
      <c r="F34" s="289">
        <f t="shared" si="3"/>
        <v>99.1</v>
      </c>
      <c r="G34" s="290">
        <f t="shared" si="3"/>
        <v>98.9</v>
      </c>
      <c r="H34" s="291">
        <f t="shared" si="3"/>
        <v>140.4</v>
      </c>
      <c r="I34" s="55"/>
    </row>
    <row r="35" spans="1:9" ht="13.5" customHeight="1">
      <c r="A35" s="89" t="s">
        <v>1427</v>
      </c>
      <c r="B35" s="102"/>
      <c r="C35" s="275"/>
      <c r="E35" s="280"/>
      <c r="F35" s="275"/>
      <c r="H35" s="280"/>
      <c r="I35" s="55"/>
    </row>
    <row r="36" spans="1:9" ht="13.5" customHeight="1">
      <c r="A36" s="252" t="s">
        <v>1428</v>
      </c>
      <c r="B36" s="48" t="s">
        <v>1084</v>
      </c>
      <c r="C36" s="275">
        <f>SUM(D36:E36)</f>
        <v>25859</v>
      </c>
      <c r="D36" s="274">
        <v>25859</v>
      </c>
      <c r="E36" s="280"/>
      <c r="F36" s="275">
        <f>SUM(G36:H36)</f>
        <v>25859</v>
      </c>
      <c r="G36" s="274">
        <v>25859</v>
      </c>
      <c r="H36" s="280"/>
      <c r="I36" s="55"/>
    </row>
    <row r="37" spans="1:9" ht="13.5" customHeight="1">
      <c r="A37" s="252" t="s">
        <v>1429</v>
      </c>
      <c r="B37" s="48" t="s">
        <v>978</v>
      </c>
      <c r="C37" s="275">
        <f>SUM(D37:E37)</f>
        <v>27330</v>
      </c>
      <c r="D37" s="274">
        <v>27330</v>
      </c>
      <c r="E37" s="280"/>
      <c r="F37" s="275">
        <f>SUM(G37:H37)</f>
        <v>27330</v>
      </c>
      <c r="G37" s="274">
        <v>27330</v>
      </c>
      <c r="H37" s="280"/>
      <c r="I37" s="55"/>
    </row>
    <row r="38" spans="1:9" ht="13.5" customHeight="1">
      <c r="A38" s="252" t="s">
        <v>1430</v>
      </c>
      <c r="B38" s="48" t="s">
        <v>979</v>
      </c>
      <c r="C38" s="294">
        <f>SUM(D38:E38)</f>
        <v>24966</v>
      </c>
      <c r="D38" s="274">
        <v>24966</v>
      </c>
      <c r="E38" s="280">
        <f>SUM(E36:E37)</f>
        <v>0</v>
      </c>
      <c r="F38" s="294">
        <f>SUM(G38:H38)</f>
        <v>24995</v>
      </c>
      <c r="G38" s="274">
        <v>24761</v>
      </c>
      <c r="H38" s="280">
        <v>234</v>
      </c>
      <c r="I38" s="55"/>
    </row>
    <row r="39" spans="1:9" ht="13.5" customHeight="1">
      <c r="A39" s="252" t="s">
        <v>1431</v>
      </c>
      <c r="B39" s="48" t="s">
        <v>1414</v>
      </c>
      <c r="C39" s="289">
        <f>ROUND(100*C38/C37,1)</f>
        <v>91.4</v>
      </c>
      <c r="D39" s="290">
        <f>ROUND(100*D38/D37,1)</f>
        <v>91.4</v>
      </c>
      <c r="E39" s="291"/>
      <c r="F39" s="289">
        <f>ROUND(100*F38/F37,1)</f>
        <v>91.5</v>
      </c>
      <c r="G39" s="290">
        <f>ROUND(100*G38/G37,1)</f>
        <v>90.6</v>
      </c>
      <c r="H39" s="291"/>
      <c r="I39" s="55"/>
    </row>
    <row r="40" spans="1:9" ht="13.5" customHeight="1">
      <c r="A40" s="89" t="s">
        <v>1432</v>
      </c>
      <c r="B40" s="102"/>
      <c r="C40" s="275">
        <f>SUM(D40:E40)</f>
        <v>0</v>
      </c>
      <c r="D40" s="274"/>
      <c r="E40" s="280"/>
      <c r="F40" s="275">
        <f>SUM(G40:H40)</f>
        <v>0</v>
      </c>
      <c r="G40" s="274"/>
      <c r="H40" s="280"/>
      <c r="I40" s="55"/>
    </row>
    <row r="41" spans="1:9" ht="13.5" customHeight="1">
      <c r="A41" s="252" t="s">
        <v>1433</v>
      </c>
      <c r="B41" s="48" t="s">
        <v>1084</v>
      </c>
      <c r="C41" s="275">
        <f>SUM(D41:E41)</f>
        <v>26490</v>
      </c>
      <c r="D41" s="274">
        <v>26490</v>
      </c>
      <c r="E41" s="280"/>
      <c r="F41" s="275">
        <f>SUM(G41:H41)</f>
        <v>26490</v>
      </c>
      <c r="G41" s="274">
        <v>26490</v>
      </c>
      <c r="H41" s="280"/>
      <c r="I41" s="55"/>
    </row>
    <row r="42" spans="1:9" ht="13.5" customHeight="1">
      <c r="A42" s="252" t="s">
        <v>1434</v>
      </c>
      <c r="B42" s="48" t="s">
        <v>978</v>
      </c>
      <c r="C42" s="275">
        <f>SUM(D42:E42)</f>
        <v>27925</v>
      </c>
      <c r="D42" s="274">
        <v>27605</v>
      </c>
      <c r="E42" s="280">
        <v>320</v>
      </c>
      <c r="F42" s="275">
        <f>SUM(G42:H42)</f>
        <v>27925</v>
      </c>
      <c r="G42" s="274">
        <v>27605</v>
      </c>
      <c r="H42" s="280">
        <v>320</v>
      </c>
      <c r="I42" s="55"/>
    </row>
    <row r="43" spans="1:9" ht="13.5" customHeight="1">
      <c r="A43" s="252" t="s">
        <v>1435</v>
      </c>
      <c r="B43" s="48" t="s">
        <v>979</v>
      </c>
      <c r="C43" s="275">
        <f>SUM(D43:E43)</f>
        <v>25875</v>
      </c>
      <c r="D43" s="274">
        <v>25555</v>
      </c>
      <c r="E43" s="280">
        <v>320</v>
      </c>
      <c r="F43" s="294">
        <f>SUM(G43:H43)</f>
        <v>25862</v>
      </c>
      <c r="G43" s="274">
        <v>25542</v>
      </c>
      <c r="H43" s="280">
        <v>320</v>
      </c>
      <c r="I43" s="55"/>
    </row>
    <row r="44" spans="1:9" ht="13.5" customHeight="1">
      <c r="A44" s="252" t="s">
        <v>1436</v>
      </c>
      <c r="B44" s="48" t="s">
        <v>1414</v>
      </c>
      <c r="C44" s="289">
        <f aca="true" t="shared" si="4" ref="C44:H44">ROUND(100*C43/C42,1)</f>
        <v>92.7</v>
      </c>
      <c r="D44" s="290">
        <f t="shared" si="4"/>
        <v>92.6</v>
      </c>
      <c r="E44" s="291">
        <f t="shared" si="4"/>
        <v>100</v>
      </c>
      <c r="F44" s="289">
        <f t="shared" si="4"/>
        <v>92.6</v>
      </c>
      <c r="G44" s="290">
        <f t="shared" si="4"/>
        <v>92.5</v>
      </c>
      <c r="H44" s="291">
        <f t="shared" si="4"/>
        <v>100</v>
      </c>
      <c r="I44" s="55"/>
    </row>
    <row r="45" spans="1:9" ht="13.5" customHeight="1">
      <c r="A45" s="295"/>
      <c r="B45" s="296"/>
      <c r="C45" s="297"/>
      <c r="D45" s="298"/>
      <c r="E45" s="299"/>
      <c r="F45" s="297"/>
      <c r="G45" s="298"/>
      <c r="H45" s="299"/>
      <c r="I45" s="55"/>
    </row>
    <row r="46" spans="1:9" ht="13.5" customHeight="1">
      <c r="A46" s="221" t="s">
        <v>1437</v>
      </c>
      <c r="B46" s="102"/>
      <c r="C46" s="294"/>
      <c r="E46" s="300"/>
      <c r="F46" s="294"/>
      <c r="H46" s="280"/>
      <c r="I46" s="55"/>
    </row>
    <row r="47" spans="1:9" ht="13.5" customHeight="1">
      <c r="A47" s="252" t="s">
        <v>1009</v>
      </c>
      <c r="B47" s="48" t="s">
        <v>1084</v>
      </c>
      <c r="C47" s="294">
        <f>SUM(D47:E47)</f>
        <v>740698</v>
      </c>
      <c r="D47" s="301">
        <f>SUM(D16,D21,D26,D31,D36,D41)</f>
        <v>740698</v>
      </c>
      <c r="E47" s="179"/>
      <c r="F47" s="294">
        <f>SUM(G47:H47)</f>
        <v>740698</v>
      </c>
      <c r="G47" s="301">
        <f>SUM(G16,G21,G26,G31,G36,G41)</f>
        <v>740698</v>
      </c>
      <c r="H47" s="179"/>
      <c r="I47" s="55"/>
    </row>
    <row r="48" spans="1:9" ht="13.5" customHeight="1">
      <c r="A48" s="252" t="s">
        <v>1012</v>
      </c>
      <c r="B48" s="48" t="s">
        <v>978</v>
      </c>
      <c r="C48" s="294">
        <f>SUM(D48:E48)</f>
        <v>815776</v>
      </c>
      <c r="D48" s="302">
        <f>SUM(D17,D22,D27,D32,D37,D42)</f>
        <v>811336</v>
      </c>
      <c r="E48" s="300">
        <f>SUM(E17,E22,E27,E32,E36,E42)</f>
        <v>4440</v>
      </c>
      <c r="F48" s="294">
        <f>SUM(G48:H48)</f>
        <v>815776</v>
      </c>
      <c r="G48" s="301">
        <f>SUM(G17,G22,G27,G32,G37,G42)</f>
        <v>811336</v>
      </c>
      <c r="H48" s="300">
        <f>SUM(H17,H22,H27,H32,H36,H42)</f>
        <v>4440</v>
      </c>
      <c r="I48" s="55"/>
    </row>
    <row r="49" spans="1:9" ht="13.5" customHeight="1">
      <c r="A49" s="252" t="s">
        <v>1015</v>
      </c>
      <c r="B49" s="48" t="s">
        <v>979</v>
      </c>
      <c r="C49" s="294">
        <f>SUM(D49:E49)</f>
        <v>802670</v>
      </c>
      <c r="D49" s="302">
        <f>SUM(D18,D23,D28,D33,D38,D43)</f>
        <v>798230</v>
      </c>
      <c r="E49" s="300">
        <f>SUM(E18,E23,E28,E33,E38,E43)</f>
        <v>4440</v>
      </c>
      <c r="F49" s="294">
        <f>SUM(G49:H49)</f>
        <v>802544</v>
      </c>
      <c r="G49" s="301">
        <f>SUM(G18,G23,G28,G33,G38,G43)</f>
        <v>796486</v>
      </c>
      <c r="H49" s="300">
        <f>SUM(H18,H23,H28,H33,H38,H43)</f>
        <v>6058</v>
      </c>
      <c r="I49" s="55"/>
    </row>
    <row r="50" spans="1:9" ht="13.5" customHeight="1">
      <c r="A50" s="303" t="s">
        <v>1018</v>
      </c>
      <c r="B50" s="304" t="s">
        <v>1414</v>
      </c>
      <c r="C50" s="305">
        <f aca="true" t="shared" si="5" ref="C50:H50">ROUND(100*C49/C48,1)</f>
        <v>98.4</v>
      </c>
      <c r="D50" s="306">
        <f t="shared" si="5"/>
        <v>98.4</v>
      </c>
      <c r="E50" s="307">
        <f t="shared" si="5"/>
        <v>100</v>
      </c>
      <c r="F50" s="305">
        <f t="shared" si="5"/>
        <v>98.4</v>
      </c>
      <c r="G50" s="308">
        <f t="shared" si="5"/>
        <v>98.2</v>
      </c>
      <c r="H50" s="307">
        <f t="shared" si="5"/>
        <v>136.4</v>
      </c>
      <c r="I50" s="55"/>
    </row>
    <row r="51" spans="1:9" ht="12.75" customHeight="1">
      <c r="A51" s="309"/>
      <c r="B51" s="102"/>
      <c r="C51" s="310"/>
      <c r="D51" s="311"/>
      <c r="E51" s="312"/>
      <c r="F51" s="310"/>
      <c r="G51" s="313"/>
      <c r="H51" s="312"/>
      <c r="I51" s="55"/>
    </row>
    <row r="52" spans="1:9" ht="12.75" customHeight="1">
      <c r="A52" s="314" t="s">
        <v>1438</v>
      </c>
      <c r="B52" s="102"/>
      <c r="C52" s="315"/>
      <c r="E52" s="34"/>
      <c r="F52" s="315"/>
      <c r="H52" s="34"/>
      <c r="I52" s="55"/>
    </row>
    <row r="53" spans="1:9" ht="12.75" customHeight="1">
      <c r="A53" s="316" t="s">
        <v>1204</v>
      </c>
      <c r="B53" s="48" t="s">
        <v>1084</v>
      </c>
      <c r="C53" s="315">
        <f>SUM(D53:E53)</f>
        <v>39001</v>
      </c>
      <c r="D53" s="317">
        <v>39001</v>
      </c>
      <c r="E53" s="179"/>
      <c r="F53" s="315">
        <f>SUM(G53:H53)</f>
        <v>39001</v>
      </c>
      <c r="G53" s="317">
        <v>39001</v>
      </c>
      <c r="H53" s="179"/>
      <c r="I53" s="55"/>
    </row>
    <row r="54" spans="1:9" ht="12.75" customHeight="1">
      <c r="A54" s="316" t="s">
        <v>1439</v>
      </c>
      <c r="B54" s="48" t="s">
        <v>978</v>
      </c>
      <c r="C54" s="315">
        <f>SUM(D54:E54)</f>
        <v>49404</v>
      </c>
      <c r="D54" s="317">
        <v>49084</v>
      </c>
      <c r="E54" s="34">
        <v>320</v>
      </c>
      <c r="F54" s="315">
        <f>SUM(G54:H54)</f>
        <v>49404</v>
      </c>
      <c r="G54" s="317">
        <v>49084</v>
      </c>
      <c r="H54" s="34">
        <v>320</v>
      </c>
      <c r="I54" s="55"/>
    </row>
    <row r="55" spans="1:9" ht="12.75" customHeight="1">
      <c r="A55" s="316" t="s">
        <v>1440</v>
      </c>
      <c r="B55" s="48" t="s">
        <v>979</v>
      </c>
      <c r="C55" s="315">
        <f>SUM(D55:E55)</f>
        <v>46776</v>
      </c>
      <c r="D55" s="317">
        <v>46456</v>
      </c>
      <c r="E55" s="34">
        <v>320</v>
      </c>
      <c r="F55" s="315">
        <f>SUM(G55:H55)</f>
        <v>44273</v>
      </c>
      <c r="G55" s="317">
        <v>43953</v>
      </c>
      <c r="H55" s="34">
        <v>320</v>
      </c>
      <c r="I55" s="55"/>
    </row>
    <row r="56" spans="1:9" ht="12.75" customHeight="1">
      <c r="A56" s="316" t="s">
        <v>1441</v>
      </c>
      <c r="B56" s="48" t="s">
        <v>1414</v>
      </c>
      <c r="C56" s="318">
        <f aca="true" t="shared" si="6" ref="C56:H56">ROUND(100*C55/C54,1)</f>
        <v>94.7</v>
      </c>
      <c r="D56" s="319">
        <f t="shared" si="6"/>
        <v>94.6</v>
      </c>
      <c r="E56" s="54">
        <f t="shared" si="6"/>
        <v>100</v>
      </c>
      <c r="F56" s="318">
        <f t="shared" si="6"/>
        <v>89.6</v>
      </c>
      <c r="G56" s="319">
        <f t="shared" si="6"/>
        <v>89.5</v>
      </c>
      <c r="H56" s="54">
        <f t="shared" si="6"/>
        <v>100</v>
      </c>
      <c r="I56" s="55"/>
    </row>
    <row r="57" spans="1:10" ht="14.25">
      <c r="A57" s="314" t="s">
        <v>1442</v>
      </c>
      <c r="B57" s="102"/>
      <c r="C57" s="315"/>
      <c r="D57" s="317"/>
      <c r="E57" s="34"/>
      <c r="F57" s="315"/>
      <c r="G57" s="317"/>
      <c r="H57" s="34"/>
      <c r="I57" s="55"/>
      <c r="J57" s="101"/>
    </row>
    <row r="58" spans="1:10" ht="14.25">
      <c r="A58" s="316" t="s">
        <v>1443</v>
      </c>
      <c r="B58" s="48" t="s">
        <v>1084</v>
      </c>
      <c r="C58" s="315">
        <f>SUM(D58:E58)</f>
        <v>33935</v>
      </c>
      <c r="D58" s="317">
        <v>31320</v>
      </c>
      <c r="E58" s="34">
        <v>2615</v>
      </c>
      <c r="F58" s="315">
        <f>SUM(G58:H58)</f>
        <v>33935</v>
      </c>
      <c r="G58" s="317">
        <v>31320</v>
      </c>
      <c r="H58" s="34">
        <v>2615</v>
      </c>
      <c r="I58" s="55"/>
      <c r="J58" s="101"/>
    </row>
    <row r="59" spans="1:10" ht="14.25">
      <c r="A59" s="316" t="s">
        <v>1444</v>
      </c>
      <c r="B59" s="48" t="s">
        <v>978</v>
      </c>
      <c r="C59" s="315">
        <f>SUM(D59:E59)</f>
        <v>38220</v>
      </c>
      <c r="D59" s="317">
        <v>35605</v>
      </c>
      <c r="E59" s="34">
        <v>2615</v>
      </c>
      <c r="F59" s="315">
        <f>SUM(G59:H59)</f>
        <v>38220</v>
      </c>
      <c r="G59" s="317">
        <v>35605</v>
      </c>
      <c r="H59" s="34">
        <v>2615</v>
      </c>
      <c r="I59" s="55"/>
      <c r="J59" s="101"/>
    </row>
    <row r="60" spans="1:10" ht="14.25">
      <c r="A60" s="316" t="s">
        <v>1445</v>
      </c>
      <c r="B60" s="48" t="s">
        <v>979</v>
      </c>
      <c r="C60" s="315">
        <f>SUM(D60:E60)</f>
        <v>37280</v>
      </c>
      <c r="D60" s="317">
        <v>34965</v>
      </c>
      <c r="E60" s="34">
        <v>2315</v>
      </c>
      <c r="F60" s="315">
        <f>SUM(G60:H60)</f>
        <v>37771</v>
      </c>
      <c r="G60" s="317">
        <v>34708</v>
      </c>
      <c r="H60" s="34">
        <v>3063</v>
      </c>
      <c r="I60" s="55"/>
      <c r="J60" s="101"/>
    </row>
    <row r="61" spans="1:10" ht="15">
      <c r="A61" s="316" t="s">
        <v>1446</v>
      </c>
      <c r="B61" s="48" t="s">
        <v>1414</v>
      </c>
      <c r="C61" s="318">
        <f aca="true" t="shared" si="7" ref="C61:H61">ROUND(100*C60/C59,1)</f>
        <v>97.5</v>
      </c>
      <c r="D61" s="319">
        <f t="shared" si="7"/>
        <v>98.2</v>
      </c>
      <c r="E61" s="54">
        <f t="shared" si="7"/>
        <v>88.5</v>
      </c>
      <c r="F61" s="318">
        <f t="shared" si="7"/>
        <v>98.8</v>
      </c>
      <c r="G61" s="319">
        <f t="shared" si="7"/>
        <v>97.5</v>
      </c>
      <c r="H61" s="320">
        <f t="shared" si="7"/>
        <v>117.1</v>
      </c>
      <c r="I61" s="55"/>
      <c r="J61" s="101"/>
    </row>
    <row r="62" spans="1:9" ht="14.25">
      <c r="A62" s="321"/>
      <c r="B62" s="322"/>
      <c r="C62" s="323"/>
      <c r="D62" s="324"/>
      <c r="E62" s="325"/>
      <c r="F62" s="323"/>
      <c r="G62" s="324"/>
      <c r="H62" s="325"/>
      <c r="I62" s="55"/>
    </row>
    <row r="63" spans="1:9" ht="15">
      <c r="A63" s="220" t="s">
        <v>1447</v>
      </c>
      <c r="B63" s="102"/>
      <c r="C63" s="326"/>
      <c r="E63" s="327">
        <f>SUM(E52,E57)</f>
        <v>0</v>
      </c>
      <c r="F63" s="326"/>
      <c r="H63" s="327">
        <f>SUM(H52,H57)</f>
        <v>0</v>
      </c>
      <c r="I63" s="55"/>
    </row>
    <row r="64" spans="1:9" ht="15">
      <c r="A64" s="316" t="s">
        <v>1039</v>
      </c>
      <c r="B64" s="48" t="s">
        <v>1084</v>
      </c>
      <c r="C64" s="326">
        <f>SUM(D64:E64)</f>
        <v>72936</v>
      </c>
      <c r="D64" s="328">
        <f>SUM(D53,D58)</f>
        <v>70321</v>
      </c>
      <c r="E64" s="214">
        <f aca="true" t="shared" si="8" ref="E64:H66">SUM(E53,E58)</f>
        <v>2615</v>
      </c>
      <c r="F64" s="326">
        <f>SUM(G64:H64)</f>
        <v>72936</v>
      </c>
      <c r="G64" s="328">
        <f t="shared" si="8"/>
        <v>70321</v>
      </c>
      <c r="H64" s="214">
        <f t="shared" si="8"/>
        <v>2615</v>
      </c>
      <c r="I64" s="55"/>
    </row>
    <row r="65" spans="1:9" ht="15">
      <c r="A65" s="316" t="s">
        <v>1042</v>
      </c>
      <c r="B65" s="48" t="s">
        <v>978</v>
      </c>
      <c r="C65" s="326">
        <f>SUM(D65:E65)</f>
        <v>87624</v>
      </c>
      <c r="D65" s="328">
        <f>SUM(D54,D59)</f>
        <v>84689</v>
      </c>
      <c r="E65" s="327">
        <f t="shared" si="8"/>
        <v>2935</v>
      </c>
      <c r="F65" s="326">
        <f>SUM(G65:H65)</f>
        <v>87624</v>
      </c>
      <c r="G65" s="328">
        <f t="shared" si="8"/>
        <v>84689</v>
      </c>
      <c r="H65" s="327">
        <f t="shared" si="8"/>
        <v>2935</v>
      </c>
      <c r="I65" s="55"/>
    </row>
    <row r="66" spans="1:9" ht="15">
      <c r="A66" s="316" t="s">
        <v>1045</v>
      </c>
      <c r="B66" s="48" t="s">
        <v>979</v>
      </c>
      <c r="C66" s="326">
        <f>SUM(D66:E66)</f>
        <v>84056</v>
      </c>
      <c r="D66" s="328">
        <f>SUM(D55,D60)</f>
        <v>81421</v>
      </c>
      <c r="E66" s="327">
        <f t="shared" si="8"/>
        <v>2635</v>
      </c>
      <c r="F66" s="326">
        <f>SUM(G66:H66)</f>
        <v>82044</v>
      </c>
      <c r="G66" s="328">
        <f t="shared" si="8"/>
        <v>78661</v>
      </c>
      <c r="H66" s="327">
        <f t="shared" si="8"/>
        <v>3383</v>
      </c>
      <c r="I66" s="55"/>
    </row>
    <row r="67" spans="1:9" ht="15">
      <c r="A67" s="316" t="s">
        <v>1048</v>
      </c>
      <c r="B67" s="48" t="s">
        <v>1414</v>
      </c>
      <c r="C67" s="318">
        <f aca="true" t="shared" si="9" ref="C67:H67">ROUND(100*C66/C65,1)</f>
        <v>95.9</v>
      </c>
      <c r="D67" s="329">
        <f t="shared" si="9"/>
        <v>96.1</v>
      </c>
      <c r="E67" s="330">
        <f t="shared" si="9"/>
        <v>89.8</v>
      </c>
      <c r="F67" s="318">
        <f t="shared" si="9"/>
        <v>93.6</v>
      </c>
      <c r="G67" s="329">
        <f t="shared" si="9"/>
        <v>92.9</v>
      </c>
      <c r="H67" s="331">
        <f t="shared" si="9"/>
        <v>115.3</v>
      </c>
      <c r="I67" s="55"/>
    </row>
    <row r="68" spans="1:9" ht="15">
      <c r="A68" s="332"/>
      <c r="B68" s="231"/>
      <c r="C68" s="333"/>
      <c r="D68" s="333"/>
      <c r="E68" s="333"/>
      <c r="F68" s="333"/>
      <c r="G68" s="333"/>
      <c r="H68" s="333"/>
      <c r="I68" s="55"/>
    </row>
    <row r="69" spans="1:9" ht="15">
      <c r="A69" s="334"/>
      <c r="B69" s="48"/>
      <c r="C69" s="335"/>
      <c r="D69" s="335"/>
      <c r="E69" s="335"/>
      <c r="F69" s="335"/>
      <c r="G69" s="335"/>
      <c r="H69" s="335"/>
      <c r="I69" s="55"/>
    </row>
    <row r="70" spans="1:9" ht="15">
      <c r="A70" s="334"/>
      <c r="B70" s="48"/>
      <c r="C70" s="335"/>
      <c r="D70" s="335"/>
      <c r="E70" s="335"/>
      <c r="F70" s="335"/>
      <c r="G70" s="335"/>
      <c r="H70" s="335"/>
      <c r="I70" s="55"/>
    </row>
    <row r="71" spans="1:9" ht="15">
      <c r="A71" s="334"/>
      <c r="B71" s="48"/>
      <c r="C71" s="335"/>
      <c r="D71" s="335"/>
      <c r="E71" s="335"/>
      <c r="F71" s="335"/>
      <c r="G71" s="335"/>
      <c r="H71" s="335"/>
      <c r="I71" s="55"/>
    </row>
    <row r="72" spans="1:9" ht="15">
      <c r="A72" s="334"/>
      <c r="B72" s="48"/>
      <c r="C72" s="335"/>
      <c r="D72" s="335"/>
      <c r="E72" s="335"/>
      <c r="F72" s="335"/>
      <c r="G72" s="335"/>
      <c r="H72" s="336" t="s">
        <v>1448</v>
      </c>
      <c r="I72" s="55"/>
    </row>
    <row r="73" spans="1:9" ht="15">
      <c r="A73" s="334"/>
      <c r="B73" s="48"/>
      <c r="C73" s="58"/>
      <c r="D73" s="58"/>
      <c r="E73" s="58"/>
      <c r="F73" s="58"/>
      <c r="G73" s="58"/>
      <c r="I73" s="55"/>
    </row>
    <row r="74" spans="1:9" ht="15">
      <c r="A74" s="334"/>
      <c r="B74" s="48"/>
      <c r="C74" s="58"/>
      <c r="D74" s="58"/>
      <c r="E74" s="58"/>
      <c r="F74" s="58"/>
      <c r="G74" s="58"/>
      <c r="H74" s="336" t="s">
        <v>1305</v>
      </c>
      <c r="I74" s="55"/>
    </row>
    <row r="75" spans="1:9" ht="14.25">
      <c r="A75" s="1068" t="s">
        <v>960</v>
      </c>
      <c r="B75" s="1068"/>
      <c r="C75" s="338" t="s">
        <v>961</v>
      </c>
      <c r="D75" s="338" t="s">
        <v>962</v>
      </c>
      <c r="E75" s="338" t="s">
        <v>963</v>
      </c>
      <c r="F75" s="338" t="s">
        <v>964</v>
      </c>
      <c r="G75" s="338" t="s">
        <v>965</v>
      </c>
      <c r="H75" s="10" t="s">
        <v>966</v>
      </c>
      <c r="I75" s="55"/>
    </row>
    <row r="76" spans="1:9" ht="15">
      <c r="A76" s="230" t="s">
        <v>1083</v>
      </c>
      <c r="B76" s="231"/>
      <c r="C76" s="271" t="s">
        <v>1400</v>
      </c>
      <c r="D76" s="272" t="s">
        <v>1401</v>
      </c>
      <c r="E76" s="259"/>
      <c r="F76" s="271" t="s">
        <v>1402</v>
      </c>
      <c r="G76" s="272" t="s">
        <v>1403</v>
      </c>
      <c r="H76" s="273"/>
      <c r="I76" s="55"/>
    </row>
    <row r="77" spans="1:9" ht="14.25">
      <c r="A77" s="89"/>
      <c r="B77" s="48"/>
      <c r="C77" s="275" t="s">
        <v>1397</v>
      </c>
      <c r="D77" s="276"/>
      <c r="E77" s="277"/>
      <c r="F77" s="275" t="s">
        <v>1397</v>
      </c>
      <c r="G77" s="276"/>
      <c r="H77" s="278"/>
      <c r="I77" s="55"/>
    </row>
    <row r="78" spans="1:9" ht="14.25">
      <c r="A78" s="89"/>
      <c r="B78" s="48"/>
      <c r="C78" s="275" t="s">
        <v>1404</v>
      </c>
      <c r="D78" s="136" t="s">
        <v>1405</v>
      </c>
      <c r="E78" s="49" t="s">
        <v>1406</v>
      </c>
      <c r="F78" s="275" t="s">
        <v>1404</v>
      </c>
      <c r="G78" s="279" t="s">
        <v>1405</v>
      </c>
      <c r="H78" s="280" t="s">
        <v>1406</v>
      </c>
      <c r="I78" s="55"/>
    </row>
    <row r="79" spans="1:9" ht="14.25">
      <c r="A79" s="89"/>
      <c r="B79" s="48"/>
      <c r="C79" s="275" t="s">
        <v>1397</v>
      </c>
      <c r="D79" s="136" t="s">
        <v>1407</v>
      </c>
      <c r="E79" s="49" t="s">
        <v>1408</v>
      </c>
      <c r="F79" s="275" t="s">
        <v>1397</v>
      </c>
      <c r="G79" s="279" t="s">
        <v>1409</v>
      </c>
      <c r="H79" s="280" t="s">
        <v>1410</v>
      </c>
      <c r="I79" s="55"/>
    </row>
    <row r="80" spans="1:9" ht="14.25">
      <c r="A80" s="89"/>
      <c r="B80" s="48"/>
      <c r="C80" s="275"/>
      <c r="D80" s="281" t="s">
        <v>1397</v>
      </c>
      <c r="E80" s="279" t="s">
        <v>1407</v>
      </c>
      <c r="F80" s="275"/>
      <c r="G80" s="279" t="s">
        <v>1397</v>
      </c>
      <c r="H80" s="280" t="s">
        <v>1409</v>
      </c>
      <c r="I80" s="55"/>
    </row>
    <row r="81" spans="1:9" ht="14.25">
      <c r="A81" s="234"/>
      <c r="B81" s="235"/>
      <c r="C81" s="282"/>
      <c r="D81" s="283" t="s">
        <v>1397</v>
      </c>
      <c r="E81" s="284"/>
      <c r="F81" s="282"/>
      <c r="G81" s="284"/>
      <c r="H81" s="285"/>
      <c r="I81" s="55"/>
    </row>
    <row r="82" spans="1:9" ht="14.25">
      <c r="A82" s="314" t="s">
        <v>1449</v>
      </c>
      <c r="C82" s="315"/>
      <c r="E82" s="34"/>
      <c r="F82" s="315"/>
      <c r="H82" s="34"/>
      <c r="I82" s="55"/>
    </row>
    <row r="83" spans="1:9" ht="14.25">
      <c r="A83" s="316" t="s">
        <v>1450</v>
      </c>
      <c r="B83" s="48" t="s">
        <v>1084</v>
      </c>
      <c r="C83" s="315">
        <f>SUM(D83:E83)</f>
        <v>137633</v>
      </c>
      <c r="D83" s="317">
        <v>137633</v>
      </c>
      <c r="E83" s="34"/>
      <c r="F83" s="315">
        <f>SUM(G83:H83)</f>
        <v>137633</v>
      </c>
      <c r="G83" s="317">
        <v>137633</v>
      </c>
      <c r="H83" s="34"/>
      <c r="I83" s="55"/>
    </row>
    <row r="84" spans="1:9" ht="14.25">
      <c r="A84" s="316" t="s">
        <v>1451</v>
      </c>
      <c r="B84" s="48" t="s">
        <v>978</v>
      </c>
      <c r="C84" s="315">
        <f>SUM(D84:E84)</f>
        <v>159177</v>
      </c>
      <c r="D84" s="317">
        <v>158561</v>
      </c>
      <c r="E84" s="339">
        <v>616</v>
      </c>
      <c r="F84" s="315">
        <f>SUM(G84:H84)</f>
        <v>159177</v>
      </c>
      <c r="G84" s="317">
        <v>158561</v>
      </c>
      <c r="H84" s="339">
        <v>616</v>
      </c>
      <c r="I84" s="55"/>
    </row>
    <row r="85" spans="1:9" ht="14.25">
      <c r="A85" s="316" t="s">
        <v>1452</v>
      </c>
      <c r="B85" s="48" t="s">
        <v>979</v>
      </c>
      <c r="C85" s="315">
        <f>SUM(D85:E85)</f>
        <v>155854</v>
      </c>
      <c r="D85" s="317">
        <v>155238</v>
      </c>
      <c r="E85" s="34">
        <v>616</v>
      </c>
      <c r="F85" s="315">
        <f>SUM(G85:H85)</f>
        <v>154730</v>
      </c>
      <c r="G85" s="317">
        <v>154114</v>
      </c>
      <c r="H85" s="34">
        <v>616</v>
      </c>
      <c r="I85" s="55"/>
    </row>
    <row r="86" spans="1:9" ht="15">
      <c r="A86" s="316" t="s">
        <v>1453</v>
      </c>
      <c r="B86" s="48" t="s">
        <v>1414</v>
      </c>
      <c r="C86" s="318">
        <f aca="true" t="shared" si="10" ref="C86:H86">ROUND(100*C85/C84,1)</f>
        <v>97.9</v>
      </c>
      <c r="D86" s="319">
        <f t="shared" si="10"/>
        <v>97.9</v>
      </c>
      <c r="E86" s="54">
        <f t="shared" si="10"/>
        <v>100</v>
      </c>
      <c r="F86" s="318">
        <f t="shared" si="10"/>
        <v>97.2</v>
      </c>
      <c r="G86" s="319">
        <f t="shared" si="10"/>
        <v>97.2</v>
      </c>
      <c r="H86" s="54">
        <f t="shared" si="10"/>
        <v>100</v>
      </c>
      <c r="I86" s="55"/>
    </row>
    <row r="87" spans="1:9" ht="14.25">
      <c r="A87" s="314" t="s">
        <v>1454</v>
      </c>
      <c r="C87" s="315"/>
      <c r="D87" s="317"/>
      <c r="E87" s="34"/>
      <c r="F87" s="315"/>
      <c r="G87" s="317"/>
      <c r="H87" s="34"/>
      <c r="I87" s="55"/>
    </row>
    <row r="88" spans="1:9" ht="14.25">
      <c r="A88" s="316" t="s">
        <v>1113</v>
      </c>
      <c r="B88" s="48" t="s">
        <v>1084</v>
      </c>
      <c r="C88" s="315">
        <f>SUM(D88:E88)</f>
        <v>437300</v>
      </c>
      <c r="D88" s="317">
        <v>437300</v>
      </c>
      <c r="E88" s="34"/>
      <c r="F88" s="315">
        <f>SUM(G88:H88)</f>
        <v>437300</v>
      </c>
      <c r="G88" s="317">
        <v>437300</v>
      </c>
      <c r="H88" s="34"/>
      <c r="I88" s="55"/>
    </row>
    <row r="89" spans="1:9" ht="14.25">
      <c r="A89" s="316" t="s">
        <v>1115</v>
      </c>
      <c r="B89" s="48" t="s">
        <v>978</v>
      </c>
      <c r="C89" s="315">
        <f>SUM(D89:E89)</f>
        <v>556319</v>
      </c>
      <c r="D89" s="317">
        <v>541045</v>
      </c>
      <c r="E89" s="34">
        <v>15274</v>
      </c>
      <c r="F89" s="315">
        <f>SUM(G89:H89)</f>
        <v>556319</v>
      </c>
      <c r="G89" s="317">
        <v>541045</v>
      </c>
      <c r="H89" s="34">
        <v>15274</v>
      </c>
      <c r="I89" s="55"/>
    </row>
    <row r="90" spans="1:9" ht="14.25">
      <c r="A90" s="316" t="s">
        <v>1117</v>
      </c>
      <c r="B90" s="48" t="s">
        <v>979</v>
      </c>
      <c r="C90" s="315">
        <f>SUM(D90:E90)</f>
        <v>568564</v>
      </c>
      <c r="D90" s="317">
        <v>552456</v>
      </c>
      <c r="E90" s="34">
        <v>16108</v>
      </c>
      <c r="F90" s="315">
        <f>SUM(G90:H90)</f>
        <v>514281</v>
      </c>
      <c r="G90" s="317">
        <v>500546</v>
      </c>
      <c r="H90" s="34">
        <v>13735</v>
      </c>
      <c r="I90" s="55"/>
    </row>
    <row r="91" spans="1:9" ht="15">
      <c r="A91" s="316" t="s">
        <v>1119</v>
      </c>
      <c r="B91" s="48" t="s">
        <v>1414</v>
      </c>
      <c r="C91" s="318">
        <f aca="true" t="shared" si="11" ref="C91:H91">ROUND(100*C90/C89,1)</f>
        <v>102.2</v>
      </c>
      <c r="D91" s="319">
        <f t="shared" si="11"/>
        <v>102.1</v>
      </c>
      <c r="E91" s="54">
        <f t="shared" si="11"/>
        <v>105.5</v>
      </c>
      <c r="F91" s="318">
        <f t="shared" si="11"/>
        <v>92.4</v>
      </c>
      <c r="G91" s="319">
        <f t="shared" si="11"/>
        <v>92.5</v>
      </c>
      <c r="H91" s="54">
        <f t="shared" si="11"/>
        <v>89.9</v>
      </c>
      <c r="I91" s="55"/>
    </row>
    <row r="92" spans="1:9" ht="14.25">
      <c r="A92" s="314" t="s">
        <v>1455</v>
      </c>
      <c r="C92" s="315"/>
      <c r="D92" s="317"/>
      <c r="E92" s="34"/>
      <c r="F92" s="315"/>
      <c r="G92" s="317"/>
      <c r="H92" s="34"/>
      <c r="I92" s="55"/>
    </row>
    <row r="93" spans="1:9" ht="14.25">
      <c r="A93" s="316" t="s">
        <v>1456</v>
      </c>
      <c r="B93" s="48" t="s">
        <v>1084</v>
      </c>
      <c r="C93" s="315">
        <f>SUM(D93:E93)</f>
        <v>91539</v>
      </c>
      <c r="D93" s="317">
        <v>91539</v>
      </c>
      <c r="E93" s="34"/>
      <c r="F93" s="315">
        <f>SUM(G93:H93)</f>
        <v>91539</v>
      </c>
      <c r="G93" s="317">
        <v>91539</v>
      </c>
      <c r="H93" s="34"/>
      <c r="I93" s="55"/>
    </row>
    <row r="94" spans="1:9" ht="14.25">
      <c r="A94" s="316" t="s">
        <v>1457</v>
      </c>
      <c r="B94" s="48" t="s">
        <v>978</v>
      </c>
      <c r="C94" s="315">
        <f>SUM(D94:E94)</f>
        <v>152873</v>
      </c>
      <c r="D94" s="317">
        <v>142791</v>
      </c>
      <c r="E94" s="34">
        <v>10082</v>
      </c>
      <c r="F94" s="315">
        <f>SUM(G94:H94)</f>
        <v>152873</v>
      </c>
      <c r="G94" s="317">
        <v>142791</v>
      </c>
      <c r="H94" s="34">
        <v>10082</v>
      </c>
      <c r="I94" s="55"/>
    </row>
    <row r="95" spans="1:9" ht="14.25">
      <c r="A95" s="316" t="s">
        <v>1458</v>
      </c>
      <c r="B95" s="48" t="s">
        <v>979</v>
      </c>
      <c r="C95" s="315">
        <f>SUM(D95:E95)</f>
        <v>142016</v>
      </c>
      <c r="D95" s="317">
        <v>131934</v>
      </c>
      <c r="E95" s="34">
        <v>10082</v>
      </c>
      <c r="F95" s="315">
        <f>SUM(G95:H95)</f>
        <v>137246</v>
      </c>
      <c r="G95" s="317">
        <v>126864</v>
      </c>
      <c r="H95" s="34">
        <v>10382</v>
      </c>
      <c r="I95" s="55"/>
    </row>
    <row r="96" spans="1:9" ht="15">
      <c r="A96" s="316" t="s">
        <v>1459</v>
      </c>
      <c r="B96" s="48" t="s">
        <v>1414</v>
      </c>
      <c r="C96" s="318">
        <f aca="true" t="shared" si="12" ref="C96:H96">ROUND(100*C95/C94,1)</f>
        <v>92.9</v>
      </c>
      <c r="D96" s="319">
        <f t="shared" si="12"/>
        <v>92.4</v>
      </c>
      <c r="E96" s="54">
        <f t="shared" si="12"/>
        <v>100</v>
      </c>
      <c r="F96" s="318">
        <f t="shared" si="12"/>
        <v>89.8</v>
      </c>
      <c r="G96" s="319">
        <f t="shared" si="12"/>
        <v>88.8</v>
      </c>
      <c r="H96" s="54">
        <f t="shared" si="12"/>
        <v>103</v>
      </c>
      <c r="I96" s="55"/>
    </row>
    <row r="97" spans="1:9" ht="14.25">
      <c r="A97" s="340"/>
      <c r="B97" s="341"/>
      <c r="C97" s="342"/>
      <c r="D97" s="317"/>
      <c r="E97" s="34"/>
      <c r="F97" s="342"/>
      <c r="G97" s="317"/>
      <c r="H97" s="34"/>
      <c r="I97" s="55"/>
    </row>
    <row r="98" spans="1:9" ht="15">
      <c r="A98" s="220" t="s">
        <v>1460</v>
      </c>
      <c r="C98" s="326"/>
      <c r="D98" s="324"/>
      <c r="E98" s="325"/>
      <c r="F98" s="326"/>
      <c r="G98" s="324"/>
      <c r="H98" s="325"/>
      <c r="I98" s="55"/>
    </row>
    <row r="99" spans="1:9" ht="15">
      <c r="A99" s="316" t="s">
        <v>1148</v>
      </c>
      <c r="B99" s="48" t="s">
        <v>1084</v>
      </c>
      <c r="C99" s="326">
        <f>SUM(D99:E99)</f>
        <v>666472</v>
      </c>
      <c r="D99" s="328">
        <f>SUM(D83,D88,D93)</f>
        <v>666472</v>
      </c>
      <c r="E99" s="327"/>
      <c r="F99" s="326">
        <f>SUM(G99:H99)</f>
        <v>666472</v>
      </c>
      <c r="G99" s="328">
        <f>SUM(G83,G88,G93)</f>
        <v>666472</v>
      </c>
      <c r="H99" s="34"/>
      <c r="I99" s="55"/>
    </row>
    <row r="100" spans="1:9" ht="15">
      <c r="A100" s="316" t="s">
        <v>1150</v>
      </c>
      <c r="B100" s="48" t="s">
        <v>978</v>
      </c>
      <c r="C100" s="326">
        <f>SUM(D100:E100)</f>
        <v>868369</v>
      </c>
      <c r="D100" s="335">
        <f>SUM(D84,D89,D94)</f>
        <v>842397</v>
      </c>
      <c r="E100" s="327">
        <f>SUM(E84,E89,E94)</f>
        <v>25972</v>
      </c>
      <c r="F100" s="326">
        <f>SUM(G100:H100)</f>
        <v>868369</v>
      </c>
      <c r="G100" s="328">
        <f>SUM(G84,G89,G94)</f>
        <v>842397</v>
      </c>
      <c r="H100" s="327">
        <f>SUM(H84,H89,H94)</f>
        <v>25972</v>
      </c>
      <c r="I100" s="55"/>
    </row>
    <row r="101" spans="1:9" ht="15">
      <c r="A101" s="316" t="s">
        <v>1152</v>
      </c>
      <c r="B101" s="48" t="s">
        <v>979</v>
      </c>
      <c r="C101" s="326">
        <f>SUM(D101:E101)</f>
        <v>866434</v>
      </c>
      <c r="D101" s="335">
        <f>SUM(D85,D90,D95)</f>
        <v>839628</v>
      </c>
      <c r="E101" s="327">
        <f>SUM(E85,E90,E95)</f>
        <v>26806</v>
      </c>
      <c r="F101" s="326">
        <f>SUM(G101:H101)</f>
        <v>806257</v>
      </c>
      <c r="G101" s="328">
        <f>SUM(G85,G90,G95)</f>
        <v>781524</v>
      </c>
      <c r="H101" s="327">
        <f>SUM(H85,H90,H95)</f>
        <v>24733</v>
      </c>
      <c r="I101" s="55"/>
    </row>
    <row r="102" spans="1:9" ht="15">
      <c r="A102" s="316" t="s">
        <v>1154</v>
      </c>
      <c r="B102" s="48" t="s">
        <v>1414</v>
      </c>
      <c r="C102" s="318">
        <f aca="true" t="shared" si="13" ref="C102:H102">ROUND(100*C101/C100,1)</f>
        <v>99.8</v>
      </c>
      <c r="D102" s="343">
        <f t="shared" si="13"/>
        <v>99.7</v>
      </c>
      <c r="E102" s="330">
        <f t="shared" si="13"/>
        <v>103.2</v>
      </c>
      <c r="F102" s="318">
        <f t="shared" si="13"/>
        <v>92.8</v>
      </c>
      <c r="G102" s="329">
        <f t="shared" si="13"/>
        <v>92.8</v>
      </c>
      <c r="H102" s="330">
        <f t="shared" si="13"/>
        <v>95.2</v>
      </c>
      <c r="I102" s="55"/>
    </row>
    <row r="103" spans="1:9" ht="14.25">
      <c r="A103" s="321"/>
      <c r="B103" s="322"/>
      <c r="C103" s="323"/>
      <c r="D103" s="344"/>
      <c r="E103" s="325"/>
      <c r="F103" s="323"/>
      <c r="G103" s="324"/>
      <c r="H103" s="325"/>
      <c r="I103" s="55"/>
    </row>
    <row r="104" spans="1:9" ht="14.25">
      <c r="A104" s="314" t="s">
        <v>1461</v>
      </c>
      <c r="C104" s="315"/>
      <c r="E104" s="179"/>
      <c r="F104" s="315"/>
      <c r="H104" s="179"/>
      <c r="I104" s="55"/>
    </row>
    <row r="105" spans="1:9" ht="14.25">
      <c r="A105" s="316" t="s">
        <v>1462</v>
      </c>
      <c r="B105" s="48" t="s">
        <v>1084</v>
      </c>
      <c r="C105" s="315">
        <f>SUM(D105:E105)</f>
        <v>2185168</v>
      </c>
      <c r="D105" s="58">
        <v>1863070</v>
      </c>
      <c r="E105" s="34">
        <v>322098</v>
      </c>
      <c r="F105" s="315">
        <f>SUM(G105:H105)</f>
        <v>2185168</v>
      </c>
      <c r="G105" s="58">
        <v>1863070</v>
      </c>
      <c r="H105" s="34">
        <v>322098</v>
      </c>
      <c r="I105" s="55"/>
    </row>
    <row r="106" spans="1:10" ht="14.25">
      <c r="A106" s="316" t="s">
        <v>1463</v>
      </c>
      <c r="B106" s="48" t="s">
        <v>978</v>
      </c>
      <c r="C106" s="315">
        <f>SUM(D106:E106)</f>
        <v>2994956</v>
      </c>
      <c r="D106" s="58">
        <v>2436096</v>
      </c>
      <c r="E106" s="34">
        <v>558860</v>
      </c>
      <c r="F106" s="315">
        <f>SUM(G106:H106)</f>
        <v>2994956</v>
      </c>
      <c r="G106" s="58">
        <v>2436096</v>
      </c>
      <c r="H106" s="34">
        <v>558860</v>
      </c>
      <c r="I106" s="55"/>
      <c r="J106" s="55"/>
    </row>
    <row r="107" spans="1:9" ht="15">
      <c r="A107" s="316" t="s">
        <v>1464</v>
      </c>
      <c r="B107" s="48" t="s">
        <v>979</v>
      </c>
      <c r="C107" s="326">
        <f>SUM(D107:E107)</f>
        <v>2951034</v>
      </c>
      <c r="D107" s="58">
        <v>2514772</v>
      </c>
      <c r="E107" s="34">
        <v>436262</v>
      </c>
      <c r="F107" s="326">
        <f>SUM(G107:H107)</f>
        <v>2892510</v>
      </c>
      <c r="G107" s="58">
        <v>2338493</v>
      </c>
      <c r="H107" s="34">
        <v>554017</v>
      </c>
      <c r="I107" s="55"/>
    </row>
    <row r="108" spans="1:9" ht="14.25">
      <c r="A108" s="316" t="s">
        <v>1465</v>
      </c>
      <c r="B108" s="48" t="s">
        <v>1414</v>
      </c>
      <c r="C108" s="345">
        <f aca="true" t="shared" si="14" ref="C108:H108">ROUND(100*C107/C106,1)</f>
        <v>98.5</v>
      </c>
      <c r="D108" s="346">
        <f t="shared" si="14"/>
        <v>103.2</v>
      </c>
      <c r="E108" s="54">
        <f t="shared" si="14"/>
        <v>78.1</v>
      </c>
      <c r="F108" s="345">
        <f t="shared" si="14"/>
        <v>96.6</v>
      </c>
      <c r="G108" s="346">
        <f t="shared" si="14"/>
        <v>96</v>
      </c>
      <c r="H108" s="54">
        <f t="shared" si="14"/>
        <v>99.1</v>
      </c>
      <c r="I108" s="55"/>
    </row>
    <row r="109" spans="1:9" ht="14.25">
      <c r="A109" s="314" t="s">
        <v>1466</v>
      </c>
      <c r="C109" s="315"/>
      <c r="D109" s="58"/>
      <c r="E109" s="34"/>
      <c r="F109" s="315"/>
      <c r="G109" s="58"/>
      <c r="H109" s="34"/>
      <c r="I109" s="55"/>
    </row>
    <row r="110" spans="1:9" ht="14.25">
      <c r="A110" s="316" t="s">
        <v>1467</v>
      </c>
      <c r="B110" s="48" t="s">
        <v>1084</v>
      </c>
      <c r="C110" s="315">
        <f>SUM(D110:E110)</f>
        <v>76655</v>
      </c>
      <c r="D110" s="58">
        <v>76655</v>
      </c>
      <c r="E110" s="34"/>
      <c r="F110" s="315">
        <f>SUM(G110:H110)</f>
        <v>76655</v>
      </c>
      <c r="G110" s="58">
        <v>76655</v>
      </c>
      <c r="H110" s="34"/>
      <c r="I110" s="55"/>
    </row>
    <row r="111" spans="1:9" ht="14.25">
      <c r="A111" s="316" t="s">
        <v>1468</v>
      </c>
      <c r="B111" s="48" t="s">
        <v>978</v>
      </c>
      <c r="C111" s="315">
        <f>SUM(D111:E111)</f>
        <v>84520</v>
      </c>
      <c r="D111" s="58">
        <v>84520</v>
      </c>
      <c r="E111" s="34"/>
      <c r="F111" s="315">
        <f>SUM(G111:H111)</f>
        <v>84520</v>
      </c>
      <c r="G111" s="58">
        <v>84520</v>
      </c>
      <c r="H111" s="34"/>
      <c r="I111" s="55"/>
    </row>
    <row r="112" spans="1:9" ht="15">
      <c r="A112" s="316" t="s">
        <v>1469</v>
      </c>
      <c r="B112" s="48" t="s">
        <v>979</v>
      </c>
      <c r="C112" s="326">
        <f>SUM(D112:E112)</f>
        <v>85242</v>
      </c>
      <c r="D112" s="58">
        <v>85242</v>
      </c>
      <c r="E112" s="34"/>
      <c r="F112" s="326">
        <f>SUM(G112:H112)</f>
        <v>85219</v>
      </c>
      <c r="G112" s="58">
        <v>85219</v>
      </c>
      <c r="H112" s="34"/>
      <c r="I112" s="55"/>
    </row>
    <row r="113" spans="1:9" ht="14.25">
      <c r="A113" s="316" t="s">
        <v>1470</v>
      </c>
      <c r="B113" s="48" t="s">
        <v>1414</v>
      </c>
      <c r="C113" s="345">
        <f>ROUND(100*C112/C111,1)</f>
        <v>100.9</v>
      </c>
      <c r="D113" s="346">
        <f>ROUND(100*D112/D111,1)</f>
        <v>100.9</v>
      </c>
      <c r="E113" s="54"/>
      <c r="F113" s="345">
        <f>ROUND(100*F112/F111,1)</f>
        <v>100.8</v>
      </c>
      <c r="G113" s="346">
        <f>ROUND(100*G112/G111,1)</f>
        <v>100.8</v>
      </c>
      <c r="H113" s="54"/>
      <c r="I113" s="55"/>
    </row>
    <row r="114" spans="1:9" ht="14.25">
      <c r="A114" s="314" t="s">
        <v>1471</v>
      </c>
      <c r="C114" s="315"/>
      <c r="D114" s="58"/>
      <c r="E114" s="34"/>
      <c r="F114" s="315"/>
      <c r="G114" s="58"/>
      <c r="H114" s="34"/>
      <c r="I114" s="55"/>
    </row>
    <row r="115" spans="1:9" ht="14.25">
      <c r="A115" s="316" t="s">
        <v>1472</v>
      </c>
      <c r="B115" s="48" t="s">
        <v>1084</v>
      </c>
      <c r="C115" s="315">
        <f>SUM(D115:E115)</f>
        <v>15927</v>
      </c>
      <c r="D115" s="317">
        <v>15927</v>
      </c>
      <c r="E115" s="34"/>
      <c r="F115" s="315">
        <f>SUM(G115:H115)</f>
        <v>15927</v>
      </c>
      <c r="G115" s="317">
        <v>15927</v>
      </c>
      <c r="H115" s="34"/>
      <c r="I115" s="55"/>
    </row>
    <row r="116" spans="1:9" ht="14.25">
      <c r="A116" s="316" t="s">
        <v>1473</v>
      </c>
      <c r="B116" s="48" t="s">
        <v>978</v>
      </c>
      <c r="C116" s="315">
        <f>SUM(D116:E116)</f>
        <v>18287</v>
      </c>
      <c r="D116" s="58">
        <v>18162</v>
      </c>
      <c r="E116" s="34">
        <v>125</v>
      </c>
      <c r="F116" s="315">
        <f>SUM(G116:H116)</f>
        <v>18287</v>
      </c>
      <c r="G116" s="317">
        <v>18162</v>
      </c>
      <c r="H116" s="34">
        <v>125</v>
      </c>
      <c r="I116" s="55"/>
    </row>
    <row r="117" spans="1:9" ht="15">
      <c r="A117" s="316" t="s">
        <v>1474</v>
      </c>
      <c r="B117" s="48" t="s">
        <v>979</v>
      </c>
      <c r="C117" s="326">
        <f>SUM(D117:E117)</f>
        <v>17913</v>
      </c>
      <c r="D117" s="58">
        <v>17913</v>
      </c>
      <c r="E117" s="34"/>
      <c r="F117" s="326">
        <f>SUM(G117:H117)</f>
        <v>15819</v>
      </c>
      <c r="G117" s="317">
        <v>15694</v>
      </c>
      <c r="H117" s="34">
        <v>125</v>
      </c>
      <c r="I117" s="55"/>
    </row>
    <row r="118" spans="1:9" ht="15">
      <c r="A118" s="316" t="s">
        <v>1475</v>
      </c>
      <c r="B118" s="48" t="s">
        <v>1414</v>
      </c>
      <c r="C118" s="318">
        <f aca="true" t="shared" si="15" ref="C118:H118">ROUND(100*C117/C116,1)</f>
        <v>98</v>
      </c>
      <c r="D118" s="346">
        <f t="shared" si="15"/>
        <v>98.6</v>
      </c>
      <c r="E118" s="54"/>
      <c r="F118" s="318">
        <f t="shared" si="15"/>
        <v>86.5</v>
      </c>
      <c r="G118" s="319">
        <f t="shared" si="15"/>
        <v>86.4</v>
      </c>
      <c r="H118" s="54">
        <f t="shared" si="15"/>
        <v>100</v>
      </c>
      <c r="I118" s="55"/>
    </row>
    <row r="119" spans="1:9" ht="14.25">
      <c r="A119" s="321"/>
      <c r="B119" s="322"/>
      <c r="C119" s="323"/>
      <c r="D119" s="344"/>
      <c r="E119" s="325"/>
      <c r="F119" s="323"/>
      <c r="G119" s="324"/>
      <c r="H119" s="325"/>
      <c r="I119" s="55"/>
    </row>
    <row r="120" spans="1:9" ht="15">
      <c r="A120" s="220" t="s">
        <v>1476</v>
      </c>
      <c r="C120" s="315"/>
      <c r="E120" s="179"/>
      <c r="F120" s="315"/>
      <c r="H120" s="179"/>
      <c r="I120" s="55"/>
    </row>
    <row r="121" spans="1:9" ht="14.25">
      <c r="A121" s="316" t="s">
        <v>1237</v>
      </c>
      <c r="B121" s="48" t="s">
        <v>1084</v>
      </c>
      <c r="C121" s="315">
        <f>SUM(D121:E121)</f>
        <v>2277750</v>
      </c>
      <c r="D121" s="58">
        <f aca="true" t="shared" si="16" ref="D121:E123">SUM(D115,D110,D105)</f>
        <v>1955652</v>
      </c>
      <c r="E121" s="34">
        <f t="shared" si="16"/>
        <v>322098</v>
      </c>
      <c r="F121" s="315">
        <f>SUM(G121:H121)</f>
        <v>2277750</v>
      </c>
      <c r="G121" s="317">
        <f aca="true" t="shared" si="17" ref="G121:H123">SUM(G115,G110,G105)</f>
        <v>1955652</v>
      </c>
      <c r="H121" s="34">
        <f t="shared" si="17"/>
        <v>322098</v>
      </c>
      <c r="I121" s="55"/>
    </row>
    <row r="122" spans="1:9" ht="14.25">
      <c r="A122" s="316" t="s">
        <v>1239</v>
      </c>
      <c r="B122" s="48" t="s">
        <v>978</v>
      </c>
      <c r="C122" s="315">
        <f>SUM(D122:E122)</f>
        <v>3097763</v>
      </c>
      <c r="D122" s="58">
        <f t="shared" si="16"/>
        <v>2538778</v>
      </c>
      <c r="E122" s="34">
        <f t="shared" si="16"/>
        <v>558985</v>
      </c>
      <c r="F122" s="315">
        <f>SUM(G122:H122)</f>
        <v>3097763</v>
      </c>
      <c r="G122" s="317">
        <f t="shared" si="17"/>
        <v>2538778</v>
      </c>
      <c r="H122" s="34">
        <f t="shared" si="17"/>
        <v>558985</v>
      </c>
      <c r="I122" s="55"/>
    </row>
    <row r="123" spans="1:9" ht="15">
      <c r="A123" s="316" t="s">
        <v>1242</v>
      </c>
      <c r="B123" s="48" t="s">
        <v>979</v>
      </c>
      <c r="C123" s="326">
        <f>SUM(D123:E123)</f>
        <v>3054189</v>
      </c>
      <c r="D123" s="58">
        <f t="shared" si="16"/>
        <v>2617927</v>
      </c>
      <c r="E123" s="34">
        <f t="shared" si="16"/>
        <v>436262</v>
      </c>
      <c r="F123" s="326">
        <f>SUM(G123:H123)</f>
        <v>2993548</v>
      </c>
      <c r="G123" s="317">
        <f t="shared" si="17"/>
        <v>2439406</v>
      </c>
      <c r="H123" s="34">
        <f t="shared" si="17"/>
        <v>554142</v>
      </c>
      <c r="I123" s="55"/>
    </row>
    <row r="124" spans="1:9" ht="15">
      <c r="A124" s="316" t="s">
        <v>1244</v>
      </c>
      <c r="B124" s="48" t="s">
        <v>1414</v>
      </c>
      <c r="C124" s="318">
        <f aca="true" t="shared" si="18" ref="C124:H124">ROUND(100*C123/C122,1)</f>
        <v>98.6</v>
      </c>
      <c r="D124" s="343">
        <f t="shared" si="18"/>
        <v>103.1</v>
      </c>
      <c r="E124" s="330">
        <f t="shared" si="18"/>
        <v>78</v>
      </c>
      <c r="F124" s="318">
        <f t="shared" si="18"/>
        <v>96.6</v>
      </c>
      <c r="G124" s="329">
        <f t="shared" si="18"/>
        <v>96.1</v>
      </c>
      <c r="H124" s="330">
        <f t="shared" si="18"/>
        <v>99.1</v>
      </c>
      <c r="I124" s="55"/>
    </row>
    <row r="125" spans="1:9" ht="15">
      <c r="A125" s="321"/>
      <c r="B125" s="322"/>
      <c r="C125" s="347"/>
      <c r="D125" s="348"/>
      <c r="E125" s="349"/>
      <c r="F125" s="347"/>
      <c r="G125" s="350"/>
      <c r="H125" s="349"/>
      <c r="I125" s="55"/>
    </row>
    <row r="126" spans="1:9" ht="15.75">
      <c r="A126" s="351" t="s">
        <v>1477</v>
      </c>
      <c r="C126" s="352"/>
      <c r="D126" s="353"/>
      <c r="F126" s="352"/>
      <c r="H126" s="179"/>
      <c r="I126" s="55"/>
    </row>
    <row r="127" spans="1:9" ht="15">
      <c r="A127" s="316" t="s">
        <v>1258</v>
      </c>
      <c r="B127" s="48" t="s">
        <v>1084</v>
      </c>
      <c r="C127" s="326">
        <f>SUM(D127:E127)</f>
        <v>3757856</v>
      </c>
      <c r="D127" s="335">
        <f aca="true" t="shared" si="19" ref="D127:E129">SUM(D121,D99,D64,D47)</f>
        <v>3433143</v>
      </c>
      <c r="E127" s="327">
        <f t="shared" si="19"/>
        <v>324713</v>
      </c>
      <c r="F127" s="326">
        <f>SUM(G127:H127)</f>
        <v>3757856</v>
      </c>
      <c r="G127" s="328">
        <f aca="true" t="shared" si="20" ref="G127:H129">SUM(G121,G99,G64,G47)</f>
        <v>3433143</v>
      </c>
      <c r="H127" s="327">
        <f t="shared" si="20"/>
        <v>324713</v>
      </c>
      <c r="I127" s="55"/>
    </row>
    <row r="128" spans="1:9" ht="15">
      <c r="A128" s="316" t="s">
        <v>1260</v>
      </c>
      <c r="B128" s="48" t="s">
        <v>978</v>
      </c>
      <c r="C128" s="326">
        <f>SUM(D128:E128)</f>
        <v>4869532</v>
      </c>
      <c r="D128" s="335">
        <f t="shared" si="19"/>
        <v>4277200</v>
      </c>
      <c r="E128" s="327">
        <f t="shared" si="19"/>
        <v>592332</v>
      </c>
      <c r="F128" s="326">
        <f>SUM(G128:H128)</f>
        <v>4869532</v>
      </c>
      <c r="G128" s="328">
        <f t="shared" si="20"/>
        <v>4277200</v>
      </c>
      <c r="H128" s="327">
        <f t="shared" si="20"/>
        <v>592332</v>
      </c>
      <c r="I128" s="55"/>
    </row>
    <row r="129" spans="1:9" ht="15">
      <c r="A129" s="316" t="s">
        <v>1262</v>
      </c>
      <c r="B129" s="48" t="s">
        <v>979</v>
      </c>
      <c r="C129" s="326">
        <f>SUM(D129:E129)</f>
        <v>4807349</v>
      </c>
      <c r="D129" s="335">
        <f t="shared" si="19"/>
        <v>4337206</v>
      </c>
      <c r="E129" s="327">
        <f t="shared" si="19"/>
        <v>470143</v>
      </c>
      <c r="F129" s="326">
        <f>SUM(G129:H129)</f>
        <v>4684393</v>
      </c>
      <c r="G129" s="328">
        <f t="shared" si="20"/>
        <v>4096077</v>
      </c>
      <c r="H129" s="327">
        <f t="shared" si="20"/>
        <v>588316</v>
      </c>
      <c r="I129" s="55"/>
    </row>
    <row r="130" spans="1:9" ht="15">
      <c r="A130" s="354" t="s">
        <v>1264</v>
      </c>
      <c r="B130" s="355" t="s">
        <v>1414</v>
      </c>
      <c r="C130" s="356">
        <f aca="true" t="shared" si="21" ref="C130:H130">ROUND(100*C129/C128,1)</f>
        <v>98.7</v>
      </c>
      <c r="D130" s="357">
        <f t="shared" si="21"/>
        <v>101.4</v>
      </c>
      <c r="E130" s="331">
        <f t="shared" si="21"/>
        <v>79.4</v>
      </c>
      <c r="F130" s="356">
        <f t="shared" si="21"/>
        <v>96.2</v>
      </c>
      <c r="G130" s="358">
        <f t="shared" si="21"/>
        <v>95.8</v>
      </c>
      <c r="H130" s="331">
        <f t="shared" si="21"/>
        <v>99.3</v>
      </c>
      <c r="I130" s="55"/>
    </row>
    <row r="131" spans="1:9" ht="12.75">
      <c r="A131" s="102"/>
      <c r="B131" s="102"/>
      <c r="C131" s="55"/>
      <c r="D131" s="55"/>
      <c r="E131" s="55"/>
      <c r="F131" s="55"/>
      <c r="G131" s="55"/>
      <c r="H131" s="55"/>
      <c r="I131" s="55"/>
    </row>
    <row r="132" spans="1:9" ht="12.75">
      <c r="A132" s="102"/>
      <c r="B132" s="102"/>
      <c r="C132" s="55"/>
      <c r="D132" s="55"/>
      <c r="E132" s="55"/>
      <c r="F132" s="55"/>
      <c r="G132" s="55"/>
      <c r="H132" s="55"/>
      <c r="I132" s="55"/>
    </row>
    <row r="133" spans="1:9" ht="12.75">
      <c r="A133" s="102"/>
      <c r="B133" s="102"/>
      <c r="C133" s="55"/>
      <c r="D133" s="55"/>
      <c r="E133" s="55"/>
      <c r="F133" s="55"/>
      <c r="G133" s="55"/>
      <c r="H133" s="55"/>
      <c r="I133" s="55"/>
    </row>
    <row r="134" spans="1:9" ht="12.75">
      <c r="A134" s="102"/>
      <c r="B134" s="102"/>
      <c r="C134" s="55"/>
      <c r="D134" s="55"/>
      <c r="E134" s="55"/>
      <c r="F134" s="55"/>
      <c r="G134" s="55"/>
      <c r="H134" s="55"/>
      <c r="I134" s="55"/>
    </row>
    <row r="135" spans="1:2" ht="12.75">
      <c r="A135" s="102"/>
      <c r="B135" s="102"/>
    </row>
    <row r="136" spans="1:7" ht="12.75">
      <c r="A136" s="102"/>
      <c r="B136" s="102"/>
      <c r="G136" s="55"/>
    </row>
    <row r="137" spans="1:2" ht="12.75">
      <c r="A137" s="102"/>
      <c r="B137" s="102"/>
    </row>
    <row r="138" spans="1:2" ht="12.75">
      <c r="A138" s="102"/>
      <c r="B138" s="102"/>
    </row>
    <row r="139" spans="1:2" ht="12.75">
      <c r="A139" s="102"/>
      <c r="B139" s="102"/>
    </row>
    <row r="140" spans="1:2" ht="12.75">
      <c r="A140" s="102"/>
      <c r="B140" s="102"/>
    </row>
    <row r="141" spans="1:2" ht="12.75">
      <c r="A141" s="102"/>
      <c r="B141" s="102"/>
    </row>
    <row r="142" spans="1:5" ht="12.75">
      <c r="A142" s="102"/>
      <c r="B142" s="102"/>
      <c r="E142" s="101"/>
    </row>
    <row r="143" spans="1:2" ht="12.75">
      <c r="A143" s="102"/>
      <c r="B143" s="102"/>
    </row>
    <row r="144" spans="1:2" ht="12.75">
      <c r="A144" s="102"/>
      <c r="B144" s="102"/>
    </row>
    <row r="145" spans="1:2" ht="12.75">
      <c r="A145" s="102"/>
      <c r="B145" s="102"/>
    </row>
    <row r="146" spans="1:2" ht="12.75">
      <c r="A146" s="102"/>
      <c r="B146" s="102"/>
    </row>
    <row r="147" spans="1:2" ht="12.75">
      <c r="A147" s="102"/>
      <c r="B147" s="102"/>
    </row>
    <row r="148" spans="1:2" ht="12.75">
      <c r="A148" s="102"/>
      <c r="B148" s="102"/>
    </row>
    <row r="149" spans="1:2" ht="12.75">
      <c r="A149" s="102"/>
      <c r="B149" s="102"/>
    </row>
    <row r="150" spans="1:2" ht="12.75">
      <c r="A150" s="102"/>
      <c r="B150" s="102"/>
    </row>
    <row r="151" spans="1:2" ht="12.75">
      <c r="A151" s="102"/>
      <c r="B151" s="102"/>
    </row>
    <row r="152" spans="1:2" ht="12.75">
      <c r="A152" s="102"/>
      <c r="B152" s="102"/>
    </row>
    <row r="153" spans="1:2" ht="12.75">
      <c r="A153" s="102"/>
      <c r="B153" s="102"/>
    </row>
    <row r="154" spans="1:2" ht="12.75">
      <c r="A154" s="102"/>
      <c r="B154" s="102"/>
    </row>
    <row r="155" spans="1:2" ht="12.75">
      <c r="A155" s="102"/>
      <c r="B155" s="102"/>
    </row>
    <row r="156" spans="1:2" ht="12.75">
      <c r="A156" s="102"/>
      <c r="B156" s="102"/>
    </row>
    <row r="157" spans="1:2" ht="12.75">
      <c r="A157" s="102"/>
      <c r="B157" s="102"/>
    </row>
    <row r="158" spans="1:2" ht="12.75">
      <c r="A158" s="102"/>
      <c r="B158" s="102"/>
    </row>
    <row r="159" spans="1:2" ht="12.75">
      <c r="A159" s="102"/>
      <c r="B159" s="102"/>
    </row>
    <row r="160" spans="1:2" ht="12.75">
      <c r="A160" s="102"/>
      <c r="B160" s="102"/>
    </row>
  </sheetData>
  <mergeCells count="5">
    <mergeCell ref="A75:B75"/>
    <mergeCell ref="G1:H1"/>
    <mergeCell ref="A3:H3"/>
    <mergeCell ref="G6:H6"/>
    <mergeCell ref="A7:B7"/>
  </mergeCells>
  <printOptions horizontalCentered="1"/>
  <pageMargins left="0.7875" right="0.7875" top="0.7875" bottom="0.7875" header="0.5118055555555556" footer="0.5118055555555556"/>
  <pageSetup cellComments="atEnd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Edi</cp:lastModifiedBy>
  <cp:lastPrinted>2011-05-04T13:06:32Z</cp:lastPrinted>
  <dcterms:modified xsi:type="dcterms:W3CDTF">2011-05-26T07:38:50Z</dcterms:modified>
  <cp:category/>
  <cp:version/>
  <cp:contentType/>
  <cp:contentStatus/>
</cp:coreProperties>
</file>